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730"/>
  <workbookPr codeName="ThisWorkbook"/>
  <mc:AlternateContent xmlns:mc="http://schemas.openxmlformats.org/markup-compatibility/2006">
    <mc:Choice Requires="x15">
      <x15ac:absPath xmlns:x15ac="http://schemas.microsoft.com/office/spreadsheetml/2010/11/ac" url="https://d.docs.live.net/4956a4dd57519aef/Documents/Mead/"/>
    </mc:Choice>
  </mc:AlternateContent>
  <xr:revisionPtr revIDLastSave="430" documentId="E16AFF2427257077EC3CBE304DF947A754C84529" xr6:coauthVersionLast="25" xr6:coauthVersionMax="25" xr10:uidLastSave="{E0301D40-3BA6-40DB-9C50-6A42BA139DFE}"/>
  <bookViews>
    <workbookView xWindow="0" yWindow="0" windowWidth="38400" windowHeight="17835" xr2:uid="{00000000-000D-0000-FFFF-FFFF00000000}"/>
  </bookViews>
  <sheets>
    <sheet name="Stabilizing" sheetId="9" r:id="rId1"/>
    <sheet name="Backsweetening" sheetId="8" r:id="rId2"/>
    <sheet name="Revisions" sheetId="6" r:id="rId3"/>
  </sheets>
  <externalReferences>
    <externalReference r:id="rId4"/>
  </externalReferences>
  <definedNames>
    <definedName name="_Ctrl_1" localSheetId="1" hidden="1">#REF!</definedName>
    <definedName name="_Ctrl_1" localSheetId="0" hidden="1">#REF!</definedName>
    <definedName name="_Ctrl_1" hidden="1">#REF!</definedName>
    <definedName name="_xlnm.Print_Area" localSheetId="1">Backsweetening!$B$2:$O$21</definedName>
    <definedName name="qwer" hidden="1">Batch00002a</definedName>
    <definedName name="testing2" localSheetId="1" hidden="1">Batch00002a</definedName>
    <definedName name="testing2" localSheetId="0" hidden="1">Batch00002a</definedName>
    <definedName name="testing2" hidden="1">Batch00002a</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3" i="9" l="1"/>
  <c r="E104" i="9" s="1"/>
  <c r="E102" i="9"/>
  <c r="G88" i="9"/>
  <c r="E78" i="9"/>
  <c r="D85" i="9" s="1"/>
  <c r="E77" i="9"/>
  <c r="G70" i="9"/>
  <c r="F70" i="9"/>
  <c r="E70" i="9"/>
  <c r="G69" i="9"/>
  <c r="F69" i="9"/>
  <c r="E69" i="9"/>
  <c r="G68" i="9"/>
  <c r="F68" i="9"/>
  <c r="E68" i="9"/>
  <c r="G67" i="9"/>
  <c r="F67" i="9"/>
  <c r="E67" i="9"/>
  <c r="G66" i="9"/>
  <c r="F66" i="9"/>
  <c r="E66" i="9"/>
  <c r="G65" i="9"/>
  <c r="F65" i="9"/>
  <c r="E65" i="9"/>
  <c r="G64" i="9"/>
  <c r="F64" i="9"/>
  <c r="E64" i="9"/>
  <c r="G63" i="9"/>
  <c r="F63" i="9"/>
  <c r="E63" i="9"/>
  <c r="G62" i="9"/>
  <c r="F62" i="9"/>
  <c r="E62" i="9"/>
  <c r="G61" i="9"/>
  <c r="F61" i="9"/>
  <c r="E61" i="9"/>
  <c r="G60" i="9"/>
  <c r="F60" i="9"/>
  <c r="E60" i="9"/>
  <c r="G59" i="9"/>
  <c r="F59" i="9"/>
  <c r="E59" i="9"/>
  <c r="E53" i="9"/>
  <c r="F53" i="9" s="1"/>
  <c r="G53" i="9" s="1"/>
  <c r="F47" i="9"/>
  <c r="F46" i="9"/>
  <c r="E54" i="9" s="1"/>
  <c r="F54" i="9" s="1"/>
  <c r="G54" i="9" s="1"/>
  <c r="H54" i="9" s="1"/>
  <c r="E52" i="9" l="1"/>
  <c r="F52" i="9" s="1"/>
  <c r="G52" i="9" s="1"/>
  <c r="H52" i="9" s="1"/>
  <c r="H53" i="9"/>
  <c r="K8" i="9"/>
  <c r="L180" i="9"/>
  <c r="L176" i="9"/>
  <c r="L172" i="9"/>
  <c r="L168" i="9"/>
  <c r="L164" i="9"/>
  <c r="L160" i="9"/>
  <c r="L156" i="9"/>
  <c r="L152" i="9"/>
  <c r="L148" i="9"/>
  <c r="L144" i="9"/>
  <c r="L140" i="9"/>
  <c r="L136" i="9"/>
  <c r="L132" i="9"/>
  <c r="L128" i="9"/>
  <c r="L124" i="9"/>
  <c r="L120" i="9"/>
  <c r="L116" i="9"/>
  <c r="L112" i="9"/>
  <c r="L108" i="9"/>
  <c r="L104" i="9"/>
  <c r="L102" i="9"/>
  <c r="L99" i="9"/>
  <c r="L95" i="9"/>
  <c r="L91" i="9"/>
  <c r="L88" i="9"/>
  <c r="L86" i="9"/>
  <c r="L83" i="9"/>
  <c r="L79" i="9"/>
  <c r="L173" i="9"/>
  <c r="L161" i="9"/>
  <c r="L153" i="9"/>
  <c r="L141" i="9"/>
  <c r="L129" i="9"/>
  <c r="L113" i="9"/>
  <c r="L92" i="9"/>
  <c r="L84" i="9"/>
  <c r="L179" i="9"/>
  <c r="L175" i="9"/>
  <c r="L171" i="9"/>
  <c r="L167" i="9"/>
  <c r="L163" i="9"/>
  <c r="L159" i="9"/>
  <c r="L155" i="9"/>
  <c r="L151" i="9"/>
  <c r="L147" i="9"/>
  <c r="L143" i="9"/>
  <c r="L139" i="9"/>
  <c r="L135" i="9"/>
  <c r="L131" i="9"/>
  <c r="L127" i="9"/>
  <c r="L123" i="9"/>
  <c r="L119" i="9"/>
  <c r="L115" i="9"/>
  <c r="L111" i="9"/>
  <c r="L107" i="9"/>
  <c r="L98" i="9"/>
  <c r="L94" i="9"/>
  <c r="L85" i="9"/>
  <c r="L82" i="9"/>
  <c r="L78" i="9"/>
  <c r="L169" i="9"/>
  <c r="L149" i="9"/>
  <c r="L133" i="9"/>
  <c r="L121" i="9"/>
  <c r="L109" i="9"/>
  <c r="L100" i="9"/>
  <c r="L89" i="9"/>
  <c r="L80" i="9"/>
  <c r="L178" i="9"/>
  <c r="L174" i="9"/>
  <c r="L170" i="9"/>
  <c r="L166" i="9"/>
  <c r="L162" i="9"/>
  <c r="L158" i="9"/>
  <c r="L154" i="9"/>
  <c r="L150" i="9"/>
  <c r="L146" i="9"/>
  <c r="L142" i="9"/>
  <c r="L138" i="9"/>
  <c r="L134" i="9"/>
  <c r="L130" i="9"/>
  <c r="L126" i="9"/>
  <c r="L122" i="9"/>
  <c r="L118" i="9"/>
  <c r="L114" i="9"/>
  <c r="L110" i="9"/>
  <c r="L106" i="9"/>
  <c r="L103" i="9"/>
  <c r="L101" i="9"/>
  <c r="L97" i="9"/>
  <c r="L93" i="9"/>
  <c r="L90" i="9"/>
  <c r="L81" i="9"/>
  <c r="L181" i="9"/>
  <c r="L177" i="9"/>
  <c r="L165" i="9"/>
  <c r="L157" i="9"/>
  <c r="L145" i="9"/>
  <c r="L137" i="9"/>
  <c r="L125" i="9"/>
  <c r="L117" i="9"/>
  <c r="L105" i="9"/>
  <c r="L96" i="9"/>
  <c r="L87" i="9"/>
  <c r="D88" i="9"/>
  <c r="D91" i="9" s="1"/>
  <c r="N9" i="9" s="1"/>
  <c r="F39" i="8"/>
  <c r="F38" i="8"/>
  <c r="F37" i="8"/>
  <c r="G89" i="8"/>
  <c r="F36" i="8"/>
  <c r="F35" i="8"/>
  <c r="F34" i="8"/>
  <c r="F31" i="8"/>
  <c r="F30" i="8"/>
  <c r="E88" i="8"/>
  <c r="F88" i="8"/>
  <c r="G88" i="8" l="1"/>
  <c r="F32" i="8"/>
  <c r="E89" i="8"/>
  <c r="F89" i="8" s="1"/>
  <c r="F33" i="8" l="1"/>
  <c r="E50" i="8"/>
  <c r="E59" i="8" l="1"/>
  <c r="E55" i="8"/>
  <c r="E53" i="8"/>
  <c r="E52" i="8"/>
  <c r="E54" i="8"/>
  <c r="E51" i="8"/>
  <c r="E14" i="8"/>
  <c r="E60" i="8" l="1"/>
  <c r="E62" i="8"/>
  <c r="E63" i="8"/>
  <c r="E17" i="8" s="1"/>
  <c r="E61" i="8"/>
  <c r="E68" i="8"/>
  <c r="E67" i="8"/>
  <c r="E72" i="8" l="1"/>
  <c r="E18" i="8"/>
  <c r="E73" i="8" l="1"/>
  <c r="E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Vinciguerra</author>
  </authors>
  <commentList>
    <comment ref="E80" authorId="0" shapeId="0" xr:uid="{9DCEF3AA-CCF8-4342-9E43-ED47A6EDB163}">
      <text>
        <r>
          <rPr>
            <sz val="9"/>
            <color indexed="81"/>
            <rFont val="Tahoma"/>
            <charset val="1"/>
          </rPr>
          <t>There are legal limits of 0.2 g/L (Europe) and 0.3 g/L (America); the sensory level for perceiving this chemical’s flavor is reported at 0.135 g/L. Adjusting these from sorbic acid -&gt; potassium sorbate gives legal limits of 0.26 g/L and 0.4 g/L, respectively, with a taste threshold of 0.18 g/L.
Quoted from: http://samfirke.com/2017/09/17/how-much-sorbate-and-sulfite-should-you-add-to-stabilize-cider/</t>
        </r>
      </text>
    </comment>
  </commentList>
</comments>
</file>

<file path=xl/sharedStrings.xml><?xml version="1.0" encoding="utf-8"?>
<sst xmlns="http://schemas.openxmlformats.org/spreadsheetml/2006/main" count="199" uniqueCount="129">
  <si>
    <t>% ABV</t>
  </si>
  <si>
    <t>gallons (US)</t>
  </si>
  <si>
    <t>grams</t>
  </si>
  <si>
    <t>by Joe Vinciguerra</t>
  </si>
  <si>
    <t>Calculations</t>
  </si>
  <si>
    <r>
      <rPr>
        <b/>
        <sz val="10"/>
        <rFont val="Calibri"/>
        <family val="2"/>
        <scheme val="minor"/>
      </rPr>
      <t>Usage:</t>
    </r>
    <r>
      <rPr>
        <sz val="10"/>
        <rFont val="Calibri"/>
        <family val="2"/>
        <scheme val="minor"/>
      </rPr>
      <t xml:space="preserve"> Enter values highlighted in green. Results are shown in orange. Do not sweeten until mead is properly stabilized. If backsweetening with something other than honey, just enter the gravity or brix for that ingredient.</t>
    </r>
  </si>
  <si>
    <t>Batch size</t>
  </si>
  <si>
    <t>Sweetness</t>
  </si>
  <si>
    <t>Specific Gravity</t>
  </si>
  <si>
    <t>Alcohol (optional)</t>
  </si>
  <si>
    <t>Honey Sweetness</t>
  </si>
  <si>
    <t>% Brix</t>
  </si>
  <si>
    <t>Desired Sweetness</t>
  </si>
  <si>
    <t>Additional Honey</t>
  </si>
  <si>
    <t>New Batch Size</t>
  </si>
  <si>
    <t>gallons (us)</t>
  </si>
  <si>
    <t>New Alcohol</t>
  </si>
  <si>
    <t>Hypothetical Must Sweetness</t>
  </si>
  <si>
    <t>Unit Conversions</t>
  </si>
  <si>
    <t>Inputs</t>
  </si>
  <si>
    <t>Units</t>
  </si>
  <si>
    <t>Value</t>
  </si>
  <si>
    <t>Sources</t>
  </si>
  <si>
    <t>Current Sweetness</t>
  </si>
  <si>
    <t>% True Brix</t>
  </si>
  <si>
    <t>Current Mass</t>
  </si>
  <si>
    <t>-</t>
  </si>
  <si>
    <t>Current Volume</t>
  </si>
  <si>
    <t>liters</t>
  </si>
  <si>
    <t>Current Alcohol</t>
  </si>
  <si>
    <t>% ABW</t>
  </si>
  <si>
    <t>byo.com/stories/item/1313-refractometers</t>
  </si>
  <si>
    <t>https://en.wikipedia.org/wiki/Brix</t>
  </si>
  <si>
    <t>fitted data from http://www.boulder.nist.gov/div838/SelectedPubs/Circular%20440%20Table%20114.pdf</t>
  </si>
  <si>
    <t>MeadkMakr.com</t>
  </si>
  <si>
    <t>Special thanks to Chris Tutschek</t>
  </si>
  <si>
    <t>kilograms</t>
  </si>
  <si>
    <t>pounds (US)</t>
  </si>
  <si>
    <t>cups</t>
  </si>
  <si>
    <t>pounds (us)</t>
  </si>
  <si>
    <t>Graphing</t>
  </si>
  <si>
    <t>Bar Graph Division Rules</t>
  </si>
  <si>
    <t>SG</t>
  </si>
  <si>
    <t>Dry</t>
  </si>
  <si>
    <t>Off-Dry</t>
  </si>
  <si>
    <t>Semi-Sweet</t>
  </si>
  <si>
    <t>Sweet</t>
  </si>
  <si>
    <t>Dessert</t>
  </si>
  <si>
    <t>Dynamic Graphing Rules</t>
  </si>
  <si>
    <t>Name</t>
  </si>
  <si>
    <t>point 1</t>
  </si>
  <si>
    <t>point 2</t>
  </si>
  <si>
    <t>New Sweetness</t>
  </si>
  <si>
    <t>Revision</t>
  </si>
  <si>
    <t>Date</t>
  </si>
  <si>
    <t>Notes</t>
  </si>
  <si>
    <t>A</t>
  </si>
  <si>
    <t>Initial Release</t>
  </si>
  <si>
    <t>B</t>
  </si>
  <si>
    <t>Added Revision table</t>
  </si>
  <si>
    <t>Corrected spelling: sheet name, spelling of potassium in instructions</t>
  </si>
  <si>
    <t>Corrected swapped labeling in k-meta calculations section of upper limit and lower limit</t>
  </si>
  <si>
    <t>Removed broken external links in defined names</t>
  </si>
  <si>
    <t>C</t>
  </si>
  <si>
    <t>More spelling errors (I warned you)</t>
  </si>
  <si>
    <t>added 1.5 ppm option for molecular SO2</t>
  </si>
  <si>
    <t>minor interface updates</t>
  </si>
  <si>
    <t>Added dynamic units</t>
  </si>
  <si>
    <t>Changed ABV input to % ABV for better compatability with future updates</t>
  </si>
  <si>
    <t>Added pH based scaling for k-sorbate</t>
  </si>
  <si>
    <t>added enhanced backsweetening calculations</t>
  </si>
  <si>
    <t>D</t>
  </si>
  <si>
    <t>Programable k-sorbate limit</t>
  </si>
  <si>
    <r>
      <rPr>
        <b/>
        <sz val="10"/>
        <rFont val="Calibri"/>
        <family val="2"/>
        <scheme val="minor"/>
      </rPr>
      <t>Usage:</t>
    </r>
    <r>
      <rPr>
        <sz val="10"/>
        <rFont val="Calibri"/>
        <family val="2"/>
        <scheme val="minor"/>
      </rPr>
      <t xml:space="preserve"> Enter values highlighted in green. Results are shown in orange; assumes powdered potassium metabisulfite, and prilled potassium sorbate. Dissolve both k-meta and k-sorb in a small amount of mead and rack on top. Allow to work for no less than 24 hours. Current SO</t>
    </r>
    <r>
      <rPr>
        <vertAlign val="subscript"/>
        <sz val="10"/>
        <rFont val="Calibri"/>
        <family val="2"/>
        <scheme val="minor"/>
      </rPr>
      <t>2</t>
    </r>
    <r>
      <rPr>
        <sz val="10"/>
        <rFont val="Calibri"/>
        <family val="2"/>
        <scheme val="minor"/>
      </rPr>
      <t xml:space="preserve"> can be negative if (you know what you're doing and) you want to force a slight overdose .</t>
    </r>
  </si>
  <si>
    <t>General Inputs</t>
  </si>
  <si>
    <t>Potassium Metabisulfite</t>
  </si>
  <si>
    <t>Potassium Sorbate</t>
  </si>
  <si>
    <r>
      <t>Molecular SO</t>
    </r>
    <r>
      <rPr>
        <vertAlign val="subscript"/>
        <sz val="11"/>
        <color theme="0"/>
        <rFont val="Calibri"/>
        <family val="2"/>
        <scheme val="minor"/>
      </rPr>
      <t>2</t>
    </r>
    <r>
      <rPr>
        <sz val="11"/>
        <color theme="0"/>
        <rFont val="Calibri"/>
        <family val="2"/>
        <scheme val="minor"/>
      </rPr>
      <t xml:space="preserve"> </t>
    </r>
  </si>
  <si>
    <t>Volume</t>
  </si>
  <si>
    <t>Current pH</t>
  </si>
  <si>
    <t>0.8 ppm (Whites)</t>
  </si>
  <si>
    <t>Total K-Meta</t>
  </si>
  <si>
    <t>Total K-Sorbate</t>
  </si>
  <si>
    <r>
      <t>Current SO</t>
    </r>
    <r>
      <rPr>
        <vertAlign val="subscript"/>
        <sz val="11"/>
        <color theme="0"/>
        <rFont val="Calibri"/>
        <family val="2"/>
        <scheme val="minor"/>
      </rPr>
      <t>2</t>
    </r>
  </si>
  <si>
    <t>Sources:</t>
  </si>
  <si>
    <t>http://winemaking.jackkeller.net/measures.asp</t>
  </si>
  <si>
    <t>http://www.bcawa.ca/winemaking/sorbate.htm</t>
  </si>
  <si>
    <t>https://www.reddit.com/r/mead/wiki/process/stabilization</t>
  </si>
  <si>
    <t>http://winemakersacademy.com/potassium-metabisulfite-additions/</t>
  </si>
  <si>
    <t>https://morewinemaking.com/products/sorbistat-potassium-sorbate.html</t>
  </si>
  <si>
    <t>https://morewinemaking.com/articles/SO2_management</t>
  </si>
  <si>
    <t>https://vinoenology.com/calculators/SO2-addition/</t>
  </si>
  <si>
    <t>https://www.winebusiness.com/tools/?go=winemaking.calc&amp;cid=21</t>
  </si>
  <si>
    <t>https://www.extension.iastate.edu/wine/sorbic-acid</t>
  </si>
  <si>
    <t>http://www.brsquared.org/wine/CalcInfo/Calcqref.htm</t>
  </si>
  <si>
    <t>Special thanks to Matt Neilson and Tom Repas</t>
  </si>
  <si>
    <t>free SO2 and k-meta</t>
  </si>
  <si>
    <t>From Inputs</t>
  </si>
  <si>
    <t>pH</t>
  </si>
  <si>
    <t>current free SO2</t>
  </si>
  <si>
    <t>Results</t>
  </si>
  <si>
    <t>Recommended Free SO2</t>
  </si>
  <si>
    <t>Add k-meta @ g/l</t>
  </si>
  <si>
    <t>Total k-meta addition (g)</t>
  </si>
  <si>
    <t>Total k-meta addition (tsp)</t>
  </si>
  <si>
    <t>0.5 ppm (Reds)</t>
  </si>
  <si>
    <t>1.5 ppm (Dessert)</t>
  </si>
  <si>
    <t>Free SO2 Goal (for graphing)</t>
  </si>
  <si>
    <t>0.5 ppm</t>
  </si>
  <si>
    <t>0.8 ppm</t>
  </si>
  <si>
    <t>1.5 ppm</t>
  </si>
  <si>
    <t>k-sorbate</t>
  </si>
  <si>
    <t>Fitted Data for Graphing</t>
  </si>
  <si>
    <t>%ABV</t>
  </si>
  <si>
    <t>ABV (%)</t>
  </si>
  <si>
    <t>g/unit</t>
  </si>
  <si>
    <t>k-sorbate limit (g/l)</t>
  </si>
  <si>
    <t>Effctiveness</t>
  </si>
  <si>
    <t>Sorbate (g/volume)</t>
  </si>
  <si>
    <t>Displayed Units</t>
  </si>
  <si>
    <t>Total Sorbate (g)</t>
  </si>
  <si>
    <t>Effectiveness by ABV</t>
  </si>
  <si>
    <t>k-sorbate (g/l)</t>
  </si>
  <si>
    <t>↑ EU legal limit</t>
  </si>
  <si>
    <t>← Taste threshold</t>
  </si>
  <si>
    <t>↓ extrapolated</t>
  </si>
  <si>
    <t>Effectiveness by pH</t>
  </si>
  <si>
    <t>%</t>
  </si>
  <si>
    <t>Negligable updates to k-meta math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</si>
</sst>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quot;% Brix&quot;"/>
    <numFmt numFmtId="168" formatCode="0.000\ &quot;SG&quot;"/>
    <numFmt numFmtId="169" formatCode="0\ &quot;ppm&quot;"/>
    <numFmt numFmtId="170" formatCode="0.0%"/>
  </numFmts>
  <fonts count="24"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b/>
      <sz val="11"/>
      <color rgb="FF3F3F3F"/>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0"/>
      <name val="Calibri"/>
      <family val="2"/>
      <scheme val="minor"/>
    </font>
    <font>
      <b/>
      <sz val="10"/>
      <name val="Calibri"/>
      <family val="2"/>
      <scheme val="minor"/>
    </font>
    <font>
      <i/>
      <sz val="8"/>
      <color theme="1"/>
      <name val="Calibri"/>
      <family val="2"/>
      <scheme val="minor"/>
    </font>
    <font>
      <b/>
      <sz val="13"/>
      <color theme="3"/>
      <name val="Calibri"/>
      <family val="2"/>
      <scheme val="minor"/>
    </font>
    <font>
      <sz val="11"/>
      <color rgb="FF9C5700"/>
      <name val="Calibri"/>
      <family val="2"/>
      <scheme val="minor"/>
    </font>
    <font>
      <sz val="11"/>
      <color rgb="FF3F3F76"/>
      <name val="Calibri"/>
      <family val="2"/>
      <scheme val="minor"/>
    </font>
    <font>
      <b/>
      <sz val="11"/>
      <color theme="0"/>
      <name val="Calibri"/>
      <family val="2"/>
      <scheme val="minor"/>
    </font>
    <font>
      <u/>
      <sz val="11"/>
      <color theme="10"/>
      <name val="Calibri"/>
      <family val="2"/>
      <scheme val="minor"/>
    </font>
    <font>
      <vertAlign val="subscript"/>
      <sz val="10"/>
      <name val="Calibri"/>
      <family val="2"/>
      <scheme val="minor"/>
    </font>
    <font>
      <vertAlign val="subscript"/>
      <sz val="11"/>
      <color theme="0"/>
      <name val="Calibri"/>
      <family val="2"/>
      <scheme val="minor"/>
    </font>
    <font>
      <b/>
      <sz val="11"/>
      <color rgb="FF006100"/>
      <name val="Calibri"/>
      <family val="2"/>
      <scheme val="minor"/>
    </font>
    <font>
      <sz val="9"/>
      <color indexed="81"/>
      <name val="Tahoma"/>
      <charset val="1"/>
    </font>
  </fonts>
  <fills count="9">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theme="4"/>
        <bgColor indexed="64"/>
      </patternFill>
    </fill>
    <fill>
      <patternFill patternType="solid">
        <fgColor rgb="FFFFEB9C"/>
      </patternFill>
    </fill>
    <fill>
      <patternFill patternType="solid">
        <fgColor rgb="FFFFCC99"/>
      </patternFill>
    </fill>
    <fill>
      <patternFill patternType="solid">
        <fgColor theme="4"/>
      </patternFill>
    </fill>
  </fills>
  <borders count="27">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ck">
        <color theme="4" tint="0.499984740745262"/>
      </bottom>
      <diagonal/>
    </border>
    <border>
      <left/>
      <right/>
      <top/>
      <bottom style="medium">
        <color theme="4" tint="0.39997558519241921"/>
      </bottom>
      <diagonal/>
    </border>
    <border>
      <left/>
      <right style="thin">
        <color rgb="FF3F3F3F"/>
      </right>
      <top/>
      <bottom/>
      <diagonal/>
    </border>
    <border>
      <left/>
      <right/>
      <top style="medium">
        <color theme="4" tint="0.39997558519241921"/>
      </top>
      <bottom/>
      <diagonal/>
    </border>
  </borders>
  <cellStyleXfs count="16">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3" applyNumberFormat="0" applyAlignment="0" applyProtection="0"/>
    <xf numFmtId="0" fontId="6" fillId="3" borderId="2" applyNumberFormat="0" applyAlignment="0" applyProtection="0"/>
    <xf numFmtId="0" fontId="7" fillId="0" borderId="0" applyNumberFormat="0" applyFill="0" applyBorder="0" applyAlignment="0" applyProtection="0"/>
    <xf numFmtId="0" fontId="1" fillId="4" borderId="4" applyNumberFormat="0" applyFont="0" applyAlignment="0" applyProtection="0"/>
    <xf numFmtId="0" fontId="8" fillId="0" borderId="0" applyNumberFormat="0" applyFill="0" applyBorder="0" applyAlignment="0" applyProtection="0"/>
    <xf numFmtId="0" fontId="15" fillId="0" borderId="23" applyNumberFormat="0" applyFill="0" applyAlignment="0" applyProtection="0"/>
    <xf numFmtId="0" fontId="3" fillId="0" borderId="24" applyNumberFormat="0" applyFill="0" applyAlignment="0" applyProtection="0"/>
    <xf numFmtId="0" fontId="16" fillId="6" borderId="0" applyNumberFormat="0" applyBorder="0" applyAlignment="0" applyProtection="0"/>
    <xf numFmtId="0" fontId="17" fillId="7" borderId="2" applyNumberFormat="0" applyAlignment="0" applyProtection="0"/>
    <xf numFmtId="0" fontId="10" fillId="8" borderId="0" applyNumberFormat="0" applyBorder="0" applyAlignment="0" applyProtection="0"/>
    <xf numFmtId="0" fontId="19" fillId="0" borderId="0" applyNumberFormat="0" applyFill="0" applyBorder="0" applyAlignment="0" applyProtection="0"/>
  </cellStyleXfs>
  <cellXfs count="160">
    <xf numFmtId="0" fontId="0" fillId="0" borderId="0" xfId="0"/>
    <xf numFmtId="0" fontId="11" fillId="0" borderId="0" xfId="0" applyFont="1"/>
    <xf numFmtId="0" fontId="1" fillId="0" borderId="0" xfId="0" applyFont="1" applyProtection="1"/>
    <xf numFmtId="0" fontId="1" fillId="0" borderId="0" xfId="0" applyFont="1" applyBorder="1" applyProtection="1"/>
    <xf numFmtId="0" fontId="1" fillId="5" borderId="0" xfId="0" applyFont="1" applyFill="1" applyBorder="1" applyProtection="1"/>
    <xf numFmtId="0" fontId="2" fillId="0" borderId="1" xfId="2" applyFont="1" applyProtection="1"/>
    <xf numFmtId="0" fontId="1" fillId="0" borderId="0" xfId="0" applyFont="1" applyFill="1" applyBorder="1" applyProtection="1"/>
    <xf numFmtId="0" fontId="2" fillId="0" borderId="0" xfId="2" applyFont="1" applyBorder="1" applyAlignment="1" applyProtection="1">
      <alignment horizontal="left"/>
    </xf>
    <xf numFmtId="0" fontId="2" fillId="5" borderId="5" xfId="2" applyFont="1" applyFill="1" applyBorder="1" applyAlignment="1" applyProtection="1">
      <alignment horizontal="left"/>
    </xf>
    <xf numFmtId="0" fontId="2" fillId="5" borderId="6" xfId="2" applyFont="1" applyFill="1" applyBorder="1" applyAlignment="1" applyProtection="1">
      <alignment horizontal="left"/>
    </xf>
    <xf numFmtId="0" fontId="1" fillId="5" borderId="6" xfId="0" applyFont="1" applyFill="1" applyBorder="1" applyProtection="1"/>
    <xf numFmtId="0" fontId="2" fillId="5" borderId="6" xfId="2" applyFont="1" applyFill="1" applyBorder="1" applyProtection="1"/>
    <xf numFmtId="0" fontId="1" fillId="5" borderId="7" xfId="0" applyFont="1" applyFill="1" applyBorder="1" applyProtection="1"/>
    <xf numFmtId="0" fontId="2" fillId="5" borderId="8" xfId="2" applyFont="1" applyFill="1" applyBorder="1" applyAlignment="1" applyProtection="1">
      <alignment horizontal="left"/>
    </xf>
    <xf numFmtId="0" fontId="2" fillId="5" borderId="9" xfId="2" applyFont="1" applyFill="1" applyBorder="1" applyAlignment="1" applyProtection="1">
      <alignment horizontal="left"/>
    </xf>
    <xf numFmtId="0" fontId="1" fillId="5" borderId="10" xfId="0" applyFont="1" applyFill="1" applyBorder="1" applyProtection="1"/>
    <xf numFmtId="0" fontId="2" fillId="5" borderId="10" xfId="2" applyFont="1" applyFill="1" applyBorder="1" applyProtection="1"/>
    <xf numFmtId="0" fontId="2" fillId="5" borderId="11" xfId="2" applyFont="1" applyFill="1" applyBorder="1" applyProtection="1"/>
    <xf numFmtId="0" fontId="2" fillId="5" borderId="0" xfId="2" applyFont="1" applyFill="1" applyBorder="1" applyProtection="1"/>
    <xf numFmtId="0" fontId="1" fillId="5" borderId="12" xfId="0" applyFont="1" applyFill="1" applyBorder="1" applyProtection="1"/>
    <xf numFmtId="0" fontId="1" fillId="5" borderId="8" xfId="0" applyFont="1" applyFill="1" applyBorder="1" applyProtection="1"/>
    <xf numFmtId="0" fontId="1" fillId="5" borderId="13" xfId="0" applyFont="1" applyFill="1" applyBorder="1" applyProtection="1"/>
    <xf numFmtId="0" fontId="1" fillId="5" borderId="0" xfId="0" applyFont="1" applyFill="1" applyBorder="1" applyAlignment="1" applyProtection="1">
      <alignment horizontal="right"/>
    </xf>
    <xf numFmtId="2" fontId="4" fillId="2" borderId="21" xfId="4" applyNumberFormat="1" applyFont="1" applyFill="1" applyBorder="1" applyAlignment="1" applyProtection="1">
      <alignment horizontal="center"/>
      <protection locked="0"/>
    </xf>
    <xf numFmtId="0" fontId="4" fillId="2" borderId="21" xfId="4" applyFont="1" applyFill="1" applyBorder="1" applyProtection="1">
      <protection locked="0"/>
    </xf>
    <xf numFmtId="165" fontId="8" fillId="5" borderId="14" xfId="9" applyNumberFormat="1" applyFont="1" applyFill="1" applyBorder="1" applyProtection="1"/>
    <xf numFmtId="165" fontId="4" fillId="2" borderId="21" xfId="4" applyNumberFormat="1" applyFont="1" applyFill="1" applyBorder="1" applyAlignment="1" applyProtection="1">
      <alignment horizontal="center"/>
      <protection locked="0"/>
    </xf>
    <xf numFmtId="165" fontId="8" fillId="0" borderId="0" xfId="9" applyNumberFormat="1" applyFont="1" applyFill="1" applyBorder="1" applyProtection="1"/>
    <xf numFmtId="165" fontId="8" fillId="5" borderId="8" xfId="9" applyNumberFormat="1" applyFont="1" applyFill="1" applyBorder="1" applyProtection="1"/>
    <xf numFmtId="165" fontId="8" fillId="5" borderId="13" xfId="9" applyNumberFormat="1" applyFont="1" applyFill="1" applyBorder="1" applyProtection="1"/>
    <xf numFmtId="164" fontId="4" fillId="2" borderId="21" xfId="4" applyNumberFormat="1" applyFont="1" applyFill="1" applyBorder="1" applyAlignment="1" applyProtection="1">
      <alignment horizontal="center"/>
      <protection locked="0"/>
    </xf>
    <xf numFmtId="0" fontId="1" fillId="5" borderId="14" xfId="0" applyFont="1" applyFill="1" applyBorder="1" applyProtection="1"/>
    <xf numFmtId="165" fontId="8" fillId="5" borderId="0" xfId="9" applyNumberFormat="1" applyFont="1" applyFill="1" applyBorder="1" applyProtection="1"/>
    <xf numFmtId="0" fontId="1" fillId="5" borderId="22" xfId="0" applyFont="1" applyFill="1" applyBorder="1" applyAlignment="1" applyProtection="1">
      <alignment horizontal="center"/>
    </xf>
    <xf numFmtId="0" fontId="1" fillId="5" borderId="22" xfId="0" applyFont="1" applyFill="1" applyBorder="1" applyProtection="1"/>
    <xf numFmtId="0" fontId="7" fillId="0" borderId="0" xfId="7" applyFont="1" applyFill="1" applyBorder="1" applyProtection="1"/>
    <xf numFmtId="0" fontId="7" fillId="5" borderId="8" xfId="7" applyFont="1" applyFill="1" applyBorder="1" applyProtection="1"/>
    <xf numFmtId="0" fontId="7" fillId="5" borderId="13" xfId="7" applyFont="1" applyFill="1" applyBorder="1" applyProtection="1"/>
    <xf numFmtId="165" fontId="6" fillId="5" borderId="14" xfId="6" applyNumberFormat="1" applyFont="1" applyFill="1" applyBorder="1" applyProtection="1"/>
    <xf numFmtId="2" fontId="6" fillId="3" borderId="2" xfId="6" applyNumberFormat="1" applyFont="1" applyAlignment="1" applyProtection="1">
      <alignment horizontal="center"/>
    </xf>
    <xf numFmtId="0" fontId="4" fillId="2" borderId="21" xfId="4" applyFont="1" applyBorder="1" applyProtection="1">
      <protection locked="0"/>
    </xf>
    <xf numFmtId="1" fontId="7" fillId="0" borderId="0" xfId="7" applyNumberFormat="1" applyFont="1" applyFill="1" applyBorder="1" applyProtection="1"/>
    <xf numFmtId="1" fontId="7" fillId="5" borderId="8" xfId="7" applyNumberFormat="1" applyFont="1" applyFill="1" applyBorder="1" applyProtection="1"/>
    <xf numFmtId="1" fontId="7" fillId="5" borderId="13" xfId="7" applyNumberFormat="1" applyFont="1" applyFill="1" applyBorder="1" applyProtection="1"/>
    <xf numFmtId="165" fontId="6" fillId="5" borderId="0" xfId="6" applyNumberFormat="1" applyFont="1" applyFill="1" applyBorder="1" applyProtection="1"/>
    <xf numFmtId="165" fontId="6" fillId="0" borderId="0" xfId="6" applyNumberFormat="1" applyFont="1" applyFill="1" applyBorder="1" applyProtection="1"/>
    <xf numFmtId="165" fontId="6" fillId="5" borderId="8" xfId="6" applyNumberFormat="1" applyFont="1" applyFill="1" applyBorder="1" applyProtection="1"/>
    <xf numFmtId="165" fontId="6" fillId="5" borderId="13" xfId="6" applyNumberFormat="1" applyFont="1" applyFill="1" applyBorder="1" applyProtection="1"/>
    <xf numFmtId="2" fontId="5" fillId="3" borderId="21" xfId="5" applyNumberFormat="1" applyFont="1" applyBorder="1" applyAlignment="1" applyProtection="1">
      <alignment horizontal="center"/>
    </xf>
    <xf numFmtId="9" fontId="1" fillId="5" borderId="0" xfId="1" applyFont="1" applyFill="1" applyBorder="1" applyProtection="1"/>
    <xf numFmtId="164" fontId="5" fillId="3" borderId="21" xfId="5" applyNumberFormat="1" applyFont="1" applyBorder="1" applyAlignment="1" applyProtection="1">
      <alignment horizontal="center"/>
    </xf>
    <xf numFmtId="0" fontId="14" fillId="5" borderId="0" xfId="0" applyFont="1" applyFill="1" applyBorder="1" applyAlignment="1" applyProtection="1">
      <alignment horizontal="right"/>
    </xf>
    <xf numFmtId="165" fontId="8" fillId="3" borderId="2" xfId="9" applyNumberFormat="1" applyFont="1" applyFill="1" applyBorder="1" applyAlignment="1" applyProtection="1">
      <alignment horizontal="center"/>
    </xf>
    <xf numFmtId="165" fontId="6" fillId="5" borderId="15" xfId="6" applyNumberFormat="1" applyFont="1" applyFill="1" applyBorder="1" applyProtection="1"/>
    <xf numFmtId="165" fontId="6" fillId="5" borderId="16" xfId="6" applyNumberFormat="1" applyFont="1" applyFill="1" applyBorder="1" applyProtection="1"/>
    <xf numFmtId="0" fontId="1" fillId="5" borderId="16" xfId="0" applyFont="1" applyFill="1" applyBorder="1" applyProtection="1"/>
    <xf numFmtId="0" fontId="1" fillId="5" borderId="17" xfId="0" applyFont="1" applyFill="1" applyBorder="1" applyProtection="1"/>
    <xf numFmtId="0" fontId="1" fillId="5" borderId="18" xfId="0" applyFont="1" applyFill="1" applyBorder="1" applyProtection="1"/>
    <xf numFmtId="0" fontId="1" fillId="5" borderId="19" xfId="0" applyFont="1" applyFill="1" applyBorder="1" applyProtection="1"/>
    <xf numFmtId="0" fontId="10" fillId="5" borderId="20" xfId="0" applyFont="1" applyFill="1" applyBorder="1" applyAlignment="1" applyProtection="1">
      <alignment horizontal="right"/>
    </xf>
    <xf numFmtId="0" fontId="2" fillId="0" borderId="1" xfId="2" applyFont="1" applyFill="1" applyProtection="1"/>
    <xf numFmtId="0" fontId="3" fillId="0" borderId="0" xfId="3" applyFont="1" applyFill="1" applyBorder="1" applyProtection="1"/>
    <xf numFmtId="0" fontId="9" fillId="0" borderId="0" xfId="0" applyFont="1" applyFill="1" applyBorder="1" applyProtection="1"/>
    <xf numFmtId="0" fontId="1" fillId="0" borderId="0" xfId="0" applyFont="1" applyFill="1" applyBorder="1" applyAlignment="1" applyProtection="1">
      <alignment horizontal="left"/>
    </xf>
    <xf numFmtId="165" fontId="6" fillId="0" borderId="0" xfId="6" applyNumberFormat="1" applyFont="1" applyFill="1" applyBorder="1" applyAlignment="1" applyProtection="1"/>
    <xf numFmtId="165" fontId="1" fillId="0" borderId="0" xfId="0" applyNumberFormat="1" applyFont="1" applyFill="1" applyBorder="1" applyProtection="1"/>
    <xf numFmtId="0" fontId="0" fillId="0" borderId="0" xfId="0" applyProtection="1"/>
    <xf numFmtId="166" fontId="1" fillId="0" borderId="0" xfId="0" applyNumberFormat="1" applyFont="1" applyFill="1" applyBorder="1" applyProtection="1"/>
    <xf numFmtId="0" fontId="0" fillId="0" borderId="0" xfId="0" applyFont="1" applyFill="1" applyBorder="1" applyProtection="1"/>
    <xf numFmtId="165" fontId="3" fillId="0" borderId="0" xfId="3" applyNumberFormat="1" applyFill="1" applyBorder="1" applyProtection="1"/>
    <xf numFmtId="0" fontId="0" fillId="0" borderId="0" xfId="0" applyFont="1" applyBorder="1" applyProtection="1"/>
    <xf numFmtId="0" fontId="7" fillId="0" borderId="0" xfId="7" applyProtection="1"/>
    <xf numFmtId="165" fontId="3" fillId="0" borderId="0" xfId="3" applyNumberFormat="1" applyFont="1" applyFill="1" applyBorder="1" applyProtection="1"/>
    <xf numFmtId="0" fontId="9" fillId="0" borderId="0" xfId="0" applyFont="1" applyProtection="1"/>
    <xf numFmtId="0" fontId="1" fillId="0" borderId="0" xfId="0" applyFont="1" applyFill="1" applyProtection="1"/>
    <xf numFmtId="0" fontId="0" fillId="0" borderId="0" xfId="0" applyFill="1" applyProtection="1"/>
    <xf numFmtId="165" fontId="2" fillId="0" borderId="1" xfId="2" applyNumberFormat="1" applyFont="1" applyFill="1" applyProtection="1"/>
    <xf numFmtId="166" fontId="2" fillId="0" borderId="1" xfId="2" applyNumberFormat="1" applyFont="1" applyFill="1" applyProtection="1"/>
    <xf numFmtId="0" fontId="3" fillId="0" borderId="0" xfId="3" applyFont="1" applyBorder="1" applyProtection="1"/>
    <xf numFmtId="165" fontId="1" fillId="0" borderId="0" xfId="0" applyNumberFormat="1" applyFont="1" applyBorder="1" applyProtection="1"/>
    <xf numFmtId="167" fontId="1" fillId="0" borderId="0" xfId="0" applyNumberFormat="1" applyFont="1" applyFill="1" applyBorder="1" applyProtection="1"/>
    <xf numFmtId="168" fontId="1" fillId="0" borderId="0" xfId="0" applyNumberFormat="1" applyFont="1" applyBorder="1" applyProtection="1"/>
    <xf numFmtId="0" fontId="0" fillId="0" borderId="0" xfId="0" applyFont="1"/>
    <xf numFmtId="0" fontId="1" fillId="0" borderId="0" xfId="0" applyFont="1"/>
    <xf numFmtId="14" fontId="1" fillId="0" borderId="0" xfId="0" applyNumberFormat="1" applyFont="1"/>
    <xf numFmtId="14" fontId="0" fillId="0" borderId="0" xfId="0" applyNumberFormat="1" applyFont="1"/>
    <xf numFmtId="0" fontId="12" fillId="4" borderId="4" xfId="8" applyFont="1" applyAlignment="1" applyProtection="1">
      <alignment horizontal="left" wrapText="1"/>
    </xf>
    <xf numFmtId="0" fontId="10" fillId="8" borderId="5" xfId="14" applyFont="1" applyBorder="1" applyProtection="1"/>
    <xf numFmtId="0" fontId="10" fillId="8" borderId="6" xfId="14" applyFont="1" applyBorder="1" applyProtection="1"/>
    <xf numFmtId="0" fontId="10" fillId="8" borderId="7" xfId="14" applyFont="1" applyBorder="1" applyProtection="1"/>
    <xf numFmtId="0" fontId="10" fillId="8" borderId="8" xfId="14" applyFont="1" applyBorder="1" applyProtection="1"/>
    <xf numFmtId="0" fontId="10" fillId="8" borderId="9" xfId="14" applyFont="1" applyBorder="1" applyProtection="1"/>
    <xf numFmtId="0" fontId="10" fillId="8" borderId="10" xfId="14" applyFont="1" applyBorder="1" applyProtection="1"/>
    <xf numFmtId="0" fontId="10" fillId="8" borderId="10" xfId="14" applyFont="1" applyBorder="1" applyAlignment="1" applyProtection="1">
      <alignment horizontal="center"/>
    </xf>
    <xf numFmtId="0" fontId="10" fillId="8" borderId="10" xfId="14" applyFont="1" applyBorder="1" applyAlignment="1" applyProtection="1">
      <alignment horizontal="right"/>
    </xf>
    <xf numFmtId="0" fontId="10" fillId="8" borderId="11" xfId="14" applyFont="1" applyBorder="1" applyProtection="1"/>
    <xf numFmtId="0" fontId="10" fillId="8" borderId="12" xfId="14" applyFont="1" applyBorder="1" applyProtection="1"/>
    <xf numFmtId="0" fontId="10" fillId="8" borderId="13" xfId="14" applyFont="1" applyBorder="1" applyProtection="1"/>
    <xf numFmtId="0" fontId="10" fillId="8" borderId="0" xfId="14" applyFont="1" applyBorder="1" applyProtection="1"/>
    <xf numFmtId="0" fontId="10" fillId="8" borderId="14" xfId="14" applyFont="1" applyBorder="1" applyProtection="1"/>
    <xf numFmtId="0" fontId="10" fillId="8" borderId="0" xfId="14" applyFont="1" applyBorder="1" applyAlignment="1" applyProtection="1">
      <alignment horizontal="center"/>
    </xf>
    <xf numFmtId="0" fontId="10" fillId="8" borderId="0" xfId="14" applyFont="1" applyBorder="1" applyAlignment="1" applyProtection="1">
      <alignment horizontal="right"/>
    </xf>
    <xf numFmtId="0" fontId="18" fillId="8" borderId="0" xfId="14" applyFont="1" applyBorder="1" applyAlignment="1" applyProtection="1">
      <alignment wrapText="1"/>
    </xf>
    <xf numFmtId="0" fontId="18" fillId="8" borderId="0" xfId="14" applyFont="1" applyBorder="1" applyAlignment="1" applyProtection="1">
      <alignment horizontal="right"/>
    </xf>
    <xf numFmtId="164" fontId="4" fillId="2" borderId="2" xfId="4" applyNumberFormat="1" applyFont="1" applyBorder="1" applyAlignment="1" applyProtection="1">
      <alignment horizontal="center"/>
      <protection locked="0"/>
    </xf>
    <xf numFmtId="0" fontId="19" fillId="0" borderId="0" xfId="15" applyFont="1" applyBorder="1" applyProtection="1"/>
    <xf numFmtId="0" fontId="18" fillId="8" borderId="0" xfId="14" applyFont="1" applyBorder="1" applyAlignment="1" applyProtection="1">
      <alignment horizontal="center"/>
    </xf>
    <xf numFmtId="0" fontId="4" fillId="2" borderId="2" xfId="4" applyFont="1" applyBorder="1" applyAlignment="1" applyProtection="1">
      <alignment horizontal="right"/>
      <protection locked="0"/>
    </xf>
    <xf numFmtId="164" fontId="4" fillId="2" borderId="4" xfId="4" applyNumberFormat="1" applyFont="1" applyBorder="1" applyAlignment="1" applyProtection="1">
      <alignment horizontal="center"/>
      <protection locked="0"/>
    </xf>
    <xf numFmtId="2" fontId="6" fillId="3" borderId="2" xfId="6" applyNumberFormat="1" applyFont="1" applyBorder="1" applyAlignment="1" applyProtection="1">
      <alignment horizontal="center"/>
    </xf>
    <xf numFmtId="0" fontId="4" fillId="2" borderId="4" xfId="4" applyFont="1" applyBorder="1" applyAlignment="1" applyProtection="1">
      <alignment horizontal="center"/>
      <protection locked="0"/>
    </xf>
    <xf numFmtId="0" fontId="4" fillId="2" borderId="2" xfId="4" applyFont="1" applyBorder="1" applyAlignment="1" applyProtection="1">
      <alignment horizontal="center"/>
      <protection locked="0"/>
    </xf>
    <xf numFmtId="0" fontId="10" fillId="8" borderId="25" xfId="14" applyFont="1" applyBorder="1" applyAlignment="1" applyProtection="1">
      <alignment vertical="center"/>
    </xf>
    <xf numFmtId="169" fontId="4" fillId="2" borderId="2" xfId="4" applyNumberFormat="1" applyFont="1" applyBorder="1" applyAlignment="1" applyProtection="1">
      <alignment horizontal="center"/>
      <protection locked="0"/>
    </xf>
    <xf numFmtId="0" fontId="10" fillId="8" borderId="15" xfId="14" applyFont="1" applyBorder="1" applyProtection="1"/>
    <xf numFmtId="0" fontId="10" fillId="8" borderId="16" xfId="14" applyFont="1" applyBorder="1" applyProtection="1"/>
    <xf numFmtId="0" fontId="10" fillId="8" borderId="17" xfId="14" applyFont="1" applyBorder="1" applyProtection="1"/>
    <xf numFmtId="0" fontId="10" fillId="8" borderId="18" xfId="14" applyFont="1" applyBorder="1" applyProtection="1"/>
    <xf numFmtId="0" fontId="10" fillId="8" borderId="19" xfId="14" applyFont="1" applyBorder="1" applyProtection="1"/>
    <xf numFmtId="0" fontId="10" fillId="8" borderId="20" xfId="14" applyFont="1" applyBorder="1" applyAlignment="1" applyProtection="1">
      <alignment horizontal="right"/>
    </xf>
    <xf numFmtId="0" fontId="1" fillId="0" borderId="0" xfId="0" applyFont="1" applyAlignment="1" applyProtection="1">
      <alignment wrapText="1"/>
    </xf>
    <xf numFmtId="0" fontId="19" fillId="0" borderId="0" xfId="15" applyFont="1" applyProtection="1"/>
    <xf numFmtId="0" fontId="7" fillId="0" borderId="0" xfId="7"/>
    <xf numFmtId="0" fontId="2" fillId="0" borderId="1" xfId="2" applyFont="1" applyAlignment="1" applyProtection="1">
      <alignment horizontal="left"/>
    </xf>
    <xf numFmtId="0" fontId="3" fillId="0" borderId="24" xfId="11" applyFont="1" applyAlignment="1" applyProtection="1">
      <alignment horizontal="center"/>
    </xf>
    <xf numFmtId="0" fontId="3" fillId="0" borderId="24" xfId="11" applyFont="1" applyProtection="1"/>
    <xf numFmtId="0" fontId="3" fillId="0" borderId="0" xfId="3" applyFont="1" applyAlignment="1" applyProtection="1">
      <alignment horizontal="right"/>
    </xf>
    <xf numFmtId="164" fontId="17" fillId="7" borderId="2" xfId="13" applyNumberFormat="1" applyFont="1" applyProtection="1"/>
    <xf numFmtId="169" fontId="17" fillId="7" borderId="2" xfId="13" applyNumberFormat="1" applyFont="1" applyProtection="1"/>
    <xf numFmtId="0" fontId="1" fillId="0" borderId="0" xfId="0" applyFont="1" applyAlignment="1" applyProtection="1">
      <alignment horizontal="center"/>
    </xf>
    <xf numFmtId="0" fontId="16" fillId="6" borderId="2" xfId="12" applyFont="1" applyBorder="1" applyAlignment="1" applyProtection="1">
      <alignment horizontal="right" textRotation="90" wrapText="1"/>
    </xf>
    <xf numFmtId="0" fontId="4" fillId="2" borderId="0" xfId="4" applyFont="1" applyAlignment="1" applyProtection="1">
      <alignment horizontal="right"/>
    </xf>
    <xf numFmtId="169" fontId="6" fillId="3" borderId="2" xfId="6" applyNumberFormat="1" applyFont="1" applyProtection="1"/>
    <xf numFmtId="2" fontId="6" fillId="3" borderId="2" xfId="6" applyNumberFormat="1" applyFont="1" applyProtection="1"/>
    <xf numFmtId="0" fontId="1" fillId="0" borderId="0" xfId="0" applyFont="1" applyAlignment="1" applyProtection="1">
      <alignment horizontal="left"/>
    </xf>
    <xf numFmtId="2" fontId="1" fillId="0" borderId="0" xfId="0" applyNumberFormat="1" applyFont="1" applyAlignment="1" applyProtection="1">
      <alignment horizontal="center"/>
    </xf>
    <xf numFmtId="1" fontId="1" fillId="0" borderId="0" xfId="0" applyNumberFormat="1" applyFont="1" applyAlignment="1" applyProtection="1">
      <alignment horizontal="center"/>
    </xf>
    <xf numFmtId="1" fontId="1" fillId="0" borderId="0" xfId="0" applyNumberFormat="1" applyFont="1" applyProtection="1"/>
    <xf numFmtId="0" fontId="15" fillId="0" borderId="26" xfId="10" applyFont="1" applyBorder="1" applyProtection="1"/>
    <xf numFmtId="0" fontId="0" fillId="0" borderId="0" xfId="0" applyAlignment="1">
      <alignment horizontal="right"/>
    </xf>
    <xf numFmtId="170" fontId="17" fillId="7" borderId="2" xfId="13" applyNumberFormat="1" applyFont="1" applyProtection="1"/>
    <xf numFmtId="170" fontId="1" fillId="0" borderId="0" xfId="1" applyNumberFormat="1" applyFont="1" applyProtection="1"/>
    <xf numFmtId="165" fontId="1" fillId="0" borderId="0" xfId="0" applyNumberFormat="1" applyFont="1" applyProtection="1"/>
    <xf numFmtId="164" fontId="22" fillId="2" borderId="2" xfId="4" applyNumberFormat="1" applyFont="1" applyBorder="1" applyProtection="1">
      <protection locked="0"/>
    </xf>
    <xf numFmtId="170" fontId="6" fillId="3" borderId="2" xfId="6" applyNumberFormat="1" applyProtection="1"/>
    <xf numFmtId="165" fontId="6" fillId="3" borderId="2" xfId="6" applyNumberFormat="1" applyFont="1" applyProtection="1"/>
    <xf numFmtId="0" fontId="8" fillId="0" borderId="0" xfId="9" applyFont="1" applyProtection="1"/>
    <xf numFmtId="0" fontId="6" fillId="3" borderId="2" xfId="6" applyProtection="1"/>
    <xf numFmtId="0" fontId="9" fillId="0" borderId="0" xfId="0" applyFont="1" applyBorder="1" applyAlignment="1" applyProtection="1">
      <alignment horizontal="center"/>
    </xf>
    <xf numFmtId="0" fontId="9" fillId="0" borderId="0" xfId="0" applyFont="1" applyBorder="1" applyAlignment="1" applyProtection="1">
      <alignment horizontal="left"/>
    </xf>
    <xf numFmtId="9" fontId="1" fillId="0" borderId="0" xfId="1" applyFont="1" applyAlignment="1" applyProtection="1">
      <alignment horizontal="center" vertical="center" wrapText="1"/>
    </xf>
    <xf numFmtId="0" fontId="1" fillId="0" borderId="0" xfId="0" applyFont="1" applyAlignment="1" applyProtection="1">
      <alignment textRotation="120"/>
    </xf>
    <xf numFmtId="170" fontId="1" fillId="0" borderId="10" xfId="1" applyNumberFormat="1"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9" fontId="1" fillId="0" borderId="0" xfId="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Font="1" applyProtection="1"/>
    <xf numFmtId="9" fontId="1" fillId="0" borderId="16" xfId="1"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9" fontId="1" fillId="0" borderId="0" xfId="1" applyFont="1" applyFill="1" applyBorder="1" applyAlignment="1" applyProtection="1">
      <alignment horizontal="center" vertical="center" wrapText="1"/>
    </xf>
  </cellXfs>
  <cellStyles count="16">
    <cellStyle name="Accent1" xfId="14" builtinId="29"/>
    <cellStyle name="Calculation" xfId="6" builtinId="22"/>
    <cellStyle name="Explanatory Text" xfId="9" builtinId="53"/>
    <cellStyle name="Good" xfId="4" builtinId="26"/>
    <cellStyle name="Heading 1" xfId="2" builtinId="16"/>
    <cellStyle name="Heading 2" xfId="10" builtinId="17"/>
    <cellStyle name="Heading 3" xfId="11" builtinId="18"/>
    <cellStyle name="Heading 4" xfId="3" builtinId="19"/>
    <cellStyle name="Hyperlink" xfId="15" builtinId="8"/>
    <cellStyle name="Input" xfId="13" builtinId="20"/>
    <cellStyle name="Neutral" xfId="12" builtinId="28"/>
    <cellStyle name="Normal" xfId="0" builtinId="0"/>
    <cellStyle name="Note" xfId="8" builtinId="10"/>
    <cellStyle name="Output" xfId="5" builtinId="21"/>
    <cellStyle name="Percent" xfId="1" builtinId="5"/>
    <cellStyle name="Warning Text" xfId="7" builtinId="11"/>
  </cellStyles>
  <dxfs count="48">
    <dxf>
      <font>
        <b val="0"/>
        <i val="0"/>
        <strike val="0"/>
        <condense val="0"/>
        <extend val="0"/>
        <outline val="0"/>
        <shadow val="0"/>
        <u val="none"/>
        <vertAlign val="baseline"/>
        <sz val="11"/>
        <color theme="1"/>
        <name val="Calibri"/>
        <scheme val="minor"/>
      </font>
      <protection locked="1" hidden="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protection locked="1" hidden="0"/>
    </dxf>
    <dxf>
      <protection locked="1" hidden="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1" formatCode="0"/>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2" formatCode="0.00"/>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165" formatCode="0.000"/>
      <protection locked="1" hidden="0"/>
    </dxf>
    <dxf>
      <font>
        <b val="0"/>
        <i val="0"/>
        <strike val="0"/>
        <condense val="0"/>
        <extend val="0"/>
        <outline val="0"/>
        <shadow val="0"/>
        <u val="none"/>
        <vertAlign val="baseline"/>
        <sz val="11"/>
        <color theme="1"/>
        <name val="Calibri"/>
        <scheme val="minor"/>
      </font>
      <numFmt numFmtId="170" formatCode="0.0%"/>
      <protection locked="1" hidden="0"/>
    </dxf>
    <dxf>
      <font>
        <b val="0"/>
        <i val="0"/>
        <strike val="0"/>
        <condense val="0"/>
        <extend val="0"/>
        <outline val="0"/>
        <shadow val="0"/>
        <u val="none"/>
        <vertAlign val="baseline"/>
        <sz val="11"/>
        <color theme="1"/>
        <name val="Calibri"/>
        <scheme val="minor"/>
      </font>
      <protection locked="1" hidden="0"/>
    </dxf>
    <dxf>
      <font>
        <b val="0"/>
        <i val="0"/>
        <strike val="0"/>
        <condense val="0"/>
        <extend val="0"/>
        <outline val="0"/>
        <shadow val="0"/>
        <u val="none"/>
        <vertAlign val="baseline"/>
        <sz val="11"/>
        <color theme="1"/>
        <name val="Calibri"/>
        <scheme val="minor"/>
      </font>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minor"/>
      </font>
      <numFmt numFmtId="168" formatCode="0.000\ &quot;SG&quot;"/>
      <protection locked="1" hidden="0"/>
    </dxf>
    <dxf>
      <font>
        <b val="0"/>
        <i val="0"/>
        <strike val="0"/>
        <condense val="0"/>
        <extend val="0"/>
        <outline val="0"/>
        <shadow val="0"/>
        <u val="none"/>
        <vertAlign val="baseline"/>
        <sz val="11"/>
        <color theme="1"/>
        <name val="Calibri"/>
        <family val="2"/>
        <scheme val="minor"/>
      </font>
      <numFmt numFmtId="167" formatCode="0.0&quot;% Brix&quo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minor"/>
      </font>
      <numFmt numFmtId="167" formatCode="0.0&quot;% Brix&quo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1" hidden="0"/>
    </dxf>
    <dxf>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1" hidden="0"/>
    </dxf>
    <dxf>
      <font>
        <b val="0"/>
        <i val="0"/>
        <strike val="0"/>
        <condense val="0"/>
        <extend val="0"/>
        <outline val="0"/>
        <shadow val="0"/>
        <u val="none"/>
        <vertAlign val="baseline"/>
        <sz val="11"/>
        <color theme="1"/>
        <name val="Calibri"/>
        <family val="2"/>
        <scheme val="minor"/>
      </font>
      <numFmt numFmtId="165" formatCode="0.000"/>
      <protection locked="1" hidden="0"/>
    </dxf>
    <dxf>
      <font>
        <b val="0"/>
        <i val="0"/>
        <strike val="0"/>
        <condense val="0"/>
        <extend val="0"/>
        <outline val="0"/>
        <shadow val="0"/>
        <u val="none"/>
        <vertAlign val="baseline"/>
        <sz val="11"/>
        <color theme="1"/>
        <name val="Calibri"/>
        <family val="2"/>
        <scheme val="minor"/>
      </font>
      <protection locked="1" hidden="0"/>
    </dxf>
    <dxf>
      <protection locked="1" hidden="0"/>
    </dxf>
    <dxf>
      <font>
        <b val="0"/>
        <i val="0"/>
        <strike val="0"/>
        <condense val="0"/>
        <extend val="0"/>
        <outline val="0"/>
        <shadow val="0"/>
        <u val="none"/>
        <vertAlign val="baseline"/>
        <sz val="11"/>
        <color theme="1"/>
        <name val="Calibri"/>
        <family val="2"/>
        <scheme val="minor"/>
      </font>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none" spc="100" normalizeH="0" baseline="0">
                <a:solidFill>
                  <a:schemeClr val="lt1"/>
                </a:solidFill>
                <a:latin typeface="+mn-lt"/>
                <a:ea typeface="+mn-ea"/>
                <a:cs typeface="+mn-cs"/>
              </a:defRPr>
            </a:pPr>
            <a:r>
              <a:rPr lang="en-US" cap="none" baseline="0"/>
              <a:t>Desired Free SO</a:t>
            </a:r>
            <a:r>
              <a:rPr lang="en-US" cap="none" baseline="-25000"/>
              <a:t>2</a:t>
            </a:r>
            <a:r>
              <a:rPr lang="en-US" cap="none" baseline="0"/>
              <a:t> Range</a:t>
            </a:r>
          </a:p>
        </c:rich>
      </c:tx>
      <c:layout>
        <c:manualLayout>
          <c:xMode val="edge"/>
          <c:yMode val="edge"/>
          <c:x val="0.17339945854921199"/>
          <c:y val="1.6053905410091725E-2"/>
        </c:manualLayout>
      </c:layout>
      <c:overlay val="0"/>
      <c:spPr>
        <a:noFill/>
        <a:ln>
          <a:noFill/>
        </a:ln>
        <a:effectLst/>
      </c:spPr>
      <c:txPr>
        <a:bodyPr rot="0" spcFirstLastPara="1" vertOverflow="ellipsis" vert="horz" wrap="square" anchor="ctr" anchorCtr="1"/>
        <a:lstStyle/>
        <a:p>
          <a:pPr>
            <a:defRPr sz="1500" b="1" i="0" u="none" strike="noStrike" kern="1200" cap="none"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0.13777644592814334"/>
          <c:y val="0.15046862851703335"/>
          <c:w val="0.69703322273676493"/>
          <c:h val="0.62994031996000488"/>
        </c:manualLayout>
      </c:layout>
      <c:scatterChart>
        <c:scatterStyle val="smoothMarker"/>
        <c:varyColors val="0"/>
        <c:ser>
          <c:idx val="1"/>
          <c:order val="0"/>
          <c:tx>
            <c:strRef>
              <c:f>Stabilizing!$F$58</c:f>
              <c:strCache>
                <c:ptCount val="1"/>
                <c:pt idx="0">
                  <c:v>0.8 ppm</c:v>
                </c:pt>
              </c:strCache>
            </c:strRef>
          </c:tx>
          <c:spPr>
            <a:ln w="25400" cap="rnd">
              <a:noFill/>
              <a:round/>
            </a:ln>
            <a:effectLst>
              <a:outerShdw dist="25400" dir="2700000" algn="tl" rotWithShape="0">
                <a:schemeClr val="accent2"/>
              </a:outerShdw>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D5D0-4B07-88A1-5BAD2AC0D1FB}"/>
                </c:ext>
              </c:extLst>
            </c:dLbl>
            <c:dLbl>
              <c:idx val="1"/>
              <c:delete val="1"/>
              <c:extLst>
                <c:ext xmlns:c15="http://schemas.microsoft.com/office/drawing/2012/chart" uri="{CE6537A1-D6FC-4f65-9D91-7224C49458BB}"/>
                <c:ext xmlns:c16="http://schemas.microsoft.com/office/drawing/2014/chart" uri="{C3380CC4-5D6E-409C-BE32-E72D297353CC}">
                  <c16:uniqueId val="{00000001-D5D0-4B07-88A1-5BAD2AC0D1FB}"/>
                </c:ext>
              </c:extLst>
            </c:dLbl>
            <c:dLbl>
              <c:idx val="2"/>
              <c:delete val="1"/>
              <c:extLst>
                <c:ext xmlns:c15="http://schemas.microsoft.com/office/drawing/2012/chart" uri="{CE6537A1-D6FC-4f65-9D91-7224C49458BB}"/>
                <c:ext xmlns:c16="http://schemas.microsoft.com/office/drawing/2014/chart" uri="{C3380CC4-5D6E-409C-BE32-E72D297353CC}">
                  <c16:uniqueId val="{00000002-D5D0-4B07-88A1-5BAD2AC0D1FB}"/>
                </c:ext>
              </c:extLst>
            </c:dLbl>
            <c:dLbl>
              <c:idx val="3"/>
              <c:delete val="1"/>
              <c:extLst>
                <c:ext xmlns:c15="http://schemas.microsoft.com/office/drawing/2012/chart" uri="{CE6537A1-D6FC-4f65-9D91-7224C49458BB}"/>
                <c:ext xmlns:c16="http://schemas.microsoft.com/office/drawing/2014/chart" uri="{C3380CC4-5D6E-409C-BE32-E72D297353CC}">
                  <c16:uniqueId val="{00000003-D5D0-4B07-88A1-5BAD2AC0D1FB}"/>
                </c:ext>
              </c:extLst>
            </c:dLbl>
            <c:dLbl>
              <c:idx val="4"/>
              <c:delete val="1"/>
              <c:extLst>
                <c:ext xmlns:c15="http://schemas.microsoft.com/office/drawing/2012/chart" uri="{CE6537A1-D6FC-4f65-9D91-7224C49458BB}"/>
                <c:ext xmlns:c16="http://schemas.microsoft.com/office/drawing/2014/chart" uri="{C3380CC4-5D6E-409C-BE32-E72D297353CC}">
                  <c16:uniqueId val="{00000004-D5D0-4B07-88A1-5BAD2AC0D1FB}"/>
                </c:ext>
              </c:extLst>
            </c:dLbl>
            <c:dLbl>
              <c:idx val="5"/>
              <c:delete val="1"/>
              <c:extLst>
                <c:ext xmlns:c15="http://schemas.microsoft.com/office/drawing/2012/chart" uri="{CE6537A1-D6FC-4f65-9D91-7224C49458BB}"/>
                <c:ext xmlns:c16="http://schemas.microsoft.com/office/drawing/2014/chart" uri="{C3380CC4-5D6E-409C-BE32-E72D297353CC}">
                  <c16:uniqueId val="{00000005-D5D0-4B07-88A1-5BAD2AC0D1FB}"/>
                </c:ext>
              </c:extLst>
            </c:dLbl>
            <c:dLbl>
              <c:idx val="6"/>
              <c:delete val="1"/>
              <c:extLst>
                <c:ext xmlns:c15="http://schemas.microsoft.com/office/drawing/2012/chart" uri="{CE6537A1-D6FC-4f65-9D91-7224C49458BB}"/>
                <c:ext xmlns:c16="http://schemas.microsoft.com/office/drawing/2014/chart" uri="{C3380CC4-5D6E-409C-BE32-E72D297353CC}">
                  <c16:uniqueId val="{00000006-D5D0-4B07-88A1-5BAD2AC0D1FB}"/>
                </c:ext>
              </c:extLst>
            </c:dLbl>
            <c:dLbl>
              <c:idx val="7"/>
              <c:delete val="1"/>
              <c:extLst>
                <c:ext xmlns:c15="http://schemas.microsoft.com/office/drawing/2012/chart" uri="{CE6537A1-D6FC-4f65-9D91-7224C49458BB}"/>
                <c:ext xmlns:c16="http://schemas.microsoft.com/office/drawing/2014/chart" uri="{C3380CC4-5D6E-409C-BE32-E72D297353CC}">
                  <c16:uniqueId val="{00000007-D5D0-4B07-88A1-5BAD2AC0D1FB}"/>
                </c:ext>
              </c:extLst>
            </c:dLbl>
            <c:dLbl>
              <c:idx val="8"/>
              <c:delete val="1"/>
              <c:extLst>
                <c:ext xmlns:c15="http://schemas.microsoft.com/office/drawing/2012/chart" uri="{CE6537A1-D6FC-4f65-9D91-7224C49458BB}"/>
                <c:ext xmlns:c16="http://schemas.microsoft.com/office/drawing/2014/chart" uri="{C3380CC4-5D6E-409C-BE32-E72D297353CC}">
                  <c16:uniqueId val="{00000008-D5D0-4B07-88A1-5BAD2AC0D1FB}"/>
                </c:ext>
              </c:extLst>
            </c:dLbl>
            <c:dLbl>
              <c:idx val="9"/>
              <c:delete val="1"/>
              <c:extLst>
                <c:ext xmlns:c15="http://schemas.microsoft.com/office/drawing/2012/chart" uri="{CE6537A1-D6FC-4f65-9D91-7224C49458BB}"/>
                <c:ext xmlns:c16="http://schemas.microsoft.com/office/drawing/2014/chart" uri="{C3380CC4-5D6E-409C-BE32-E72D297353CC}">
                  <c16:uniqueId val="{00000009-D5D0-4B07-88A1-5BAD2AC0D1FB}"/>
                </c:ext>
              </c:extLst>
            </c:dLbl>
            <c:dLbl>
              <c:idx val="10"/>
              <c:delete val="1"/>
              <c:extLst>
                <c:ext xmlns:c15="http://schemas.microsoft.com/office/drawing/2012/chart" uri="{CE6537A1-D6FC-4f65-9D91-7224C49458BB}"/>
                <c:ext xmlns:c16="http://schemas.microsoft.com/office/drawing/2014/chart" uri="{C3380CC4-5D6E-409C-BE32-E72D297353CC}">
                  <c16:uniqueId val="{0000000A-D5D0-4B07-88A1-5BAD2AC0D1FB}"/>
                </c:ext>
              </c:extLst>
            </c:dLbl>
            <c:dLbl>
              <c:idx val="11"/>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D5D0-4B07-88A1-5BAD2AC0D1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trendline>
            <c:spPr>
              <a:ln w="28575" cap="rnd">
                <a:solidFill>
                  <a:schemeClr val="lt1">
                    <a:alpha val="50000"/>
                  </a:schemeClr>
                </a:solidFill>
                <a:round/>
              </a:ln>
              <a:effectLst/>
            </c:spPr>
            <c:trendlineType val="exp"/>
            <c:backward val="0.1"/>
            <c:dispRSqr val="0"/>
            <c:dispEq val="0"/>
          </c:trendline>
          <c:xVal>
            <c:numRef>
              <c:f>Stabilizing!$D$59:$D$70</c:f>
              <c:numCache>
                <c:formatCode>0.00</c:formatCode>
                <c:ptCount val="12"/>
                <c:pt idx="0">
                  <c:v>2.9</c:v>
                </c:pt>
                <c:pt idx="1">
                  <c:v>3</c:v>
                </c:pt>
                <c:pt idx="2">
                  <c:v>3.1</c:v>
                </c:pt>
                <c:pt idx="3">
                  <c:v>3.2</c:v>
                </c:pt>
                <c:pt idx="4">
                  <c:v>3.3</c:v>
                </c:pt>
                <c:pt idx="5">
                  <c:v>3.4</c:v>
                </c:pt>
                <c:pt idx="6">
                  <c:v>3.5</c:v>
                </c:pt>
                <c:pt idx="7">
                  <c:v>3.6</c:v>
                </c:pt>
                <c:pt idx="8">
                  <c:v>3.7</c:v>
                </c:pt>
                <c:pt idx="9">
                  <c:v>3.8</c:v>
                </c:pt>
                <c:pt idx="10">
                  <c:v>3.9</c:v>
                </c:pt>
                <c:pt idx="11">
                  <c:v>4</c:v>
                </c:pt>
              </c:numCache>
            </c:numRef>
          </c:xVal>
          <c:yVal>
            <c:numRef>
              <c:f>Stabilizing!$F$59:$F$70</c:f>
              <c:numCache>
                <c:formatCode>0</c:formatCode>
                <c:ptCount val="12"/>
                <c:pt idx="0">
                  <c:v>10.6421501664991</c:v>
                </c:pt>
                <c:pt idx="1">
                  <c:v>13.1905329512999</c:v>
                </c:pt>
                <c:pt idx="2">
                  <c:v>16.398756798064401</c:v>
                </c:pt>
                <c:pt idx="3">
                  <c:v>20.437671325480299</c:v>
                </c:pt>
                <c:pt idx="4">
                  <c:v>25.5223634601087</c:v>
                </c:pt>
                <c:pt idx="5">
                  <c:v>31.923611599542401</c:v>
                </c:pt>
                <c:pt idx="6">
                  <c:v>39.982305549475697</c:v>
                </c:pt>
                <c:pt idx="7">
                  <c:v>50.127600148918603</c:v>
                </c:pt>
                <c:pt idx="8">
                  <c:v>62.899769330295399</c:v>
                </c:pt>
                <c:pt idx="9">
                  <c:v>78.978977676464794</c:v>
                </c:pt>
                <c:pt idx="10">
                  <c:v>99.221501664990598</c:v>
                </c:pt>
                <c:pt idx="11">
                  <c:v>124.705329512999</c:v>
                </c:pt>
              </c:numCache>
            </c:numRef>
          </c:yVal>
          <c:smooth val="1"/>
          <c:extLst>
            <c:ext xmlns:c16="http://schemas.microsoft.com/office/drawing/2014/chart" uri="{C3380CC4-5D6E-409C-BE32-E72D297353CC}">
              <c16:uniqueId val="{0000000D-D5D0-4B07-88A1-5BAD2AC0D1FB}"/>
            </c:ext>
          </c:extLst>
        </c:ser>
        <c:ser>
          <c:idx val="2"/>
          <c:order val="1"/>
          <c:tx>
            <c:strRef>
              <c:f>Stabilizing!$E$58</c:f>
              <c:strCache>
                <c:ptCount val="1"/>
                <c:pt idx="0">
                  <c:v>0.5 ppm</c:v>
                </c:pt>
              </c:strCache>
            </c:strRef>
          </c:tx>
          <c:spPr>
            <a:ln w="25400" cap="rnd">
              <a:noFill/>
              <a:round/>
            </a:ln>
            <a:effectLst>
              <a:outerShdw dist="25400" dir="2700000" algn="tl" rotWithShape="0">
                <a:schemeClr val="accent3"/>
              </a:outerShdw>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1-D5D0-4B07-88A1-5BAD2AC0D1FB}"/>
                </c:ext>
              </c:extLst>
            </c:dLbl>
            <c:dLbl>
              <c:idx val="1"/>
              <c:delete val="1"/>
              <c:extLst>
                <c:ext xmlns:c15="http://schemas.microsoft.com/office/drawing/2012/chart" uri="{CE6537A1-D6FC-4f65-9D91-7224C49458BB}"/>
                <c:ext xmlns:c16="http://schemas.microsoft.com/office/drawing/2014/chart" uri="{C3380CC4-5D6E-409C-BE32-E72D297353CC}">
                  <c16:uniqueId val="{0000000E-D5D0-4B07-88A1-5BAD2AC0D1FB}"/>
                </c:ext>
              </c:extLst>
            </c:dLbl>
            <c:dLbl>
              <c:idx val="2"/>
              <c:delete val="1"/>
              <c:extLst>
                <c:ext xmlns:c15="http://schemas.microsoft.com/office/drawing/2012/chart" uri="{CE6537A1-D6FC-4f65-9D91-7224C49458BB}"/>
                <c:ext xmlns:c16="http://schemas.microsoft.com/office/drawing/2014/chart" uri="{C3380CC4-5D6E-409C-BE32-E72D297353CC}">
                  <c16:uniqueId val="{0000000F-D5D0-4B07-88A1-5BAD2AC0D1FB}"/>
                </c:ext>
              </c:extLst>
            </c:dLbl>
            <c:dLbl>
              <c:idx val="3"/>
              <c:delete val="1"/>
              <c:extLst>
                <c:ext xmlns:c15="http://schemas.microsoft.com/office/drawing/2012/chart" uri="{CE6537A1-D6FC-4f65-9D91-7224C49458BB}"/>
                <c:ext xmlns:c16="http://schemas.microsoft.com/office/drawing/2014/chart" uri="{C3380CC4-5D6E-409C-BE32-E72D297353CC}">
                  <c16:uniqueId val="{00000010-D5D0-4B07-88A1-5BAD2AC0D1FB}"/>
                </c:ext>
              </c:extLst>
            </c:dLbl>
            <c:dLbl>
              <c:idx val="4"/>
              <c:delete val="1"/>
              <c:extLst>
                <c:ext xmlns:c15="http://schemas.microsoft.com/office/drawing/2012/chart" uri="{CE6537A1-D6FC-4f65-9D91-7224C49458BB}"/>
                <c:ext xmlns:c16="http://schemas.microsoft.com/office/drawing/2014/chart" uri="{C3380CC4-5D6E-409C-BE32-E72D297353CC}">
                  <c16:uniqueId val="{00000011-D5D0-4B07-88A1-5BAD2AC0D1FB}"/>
                </c:ext>
              </c:extLst>
            </c:dLbl>
            <c:dLbl>
              <c:idx val="5"/>
              <c:delete val="1"/>
              <c:extLst>
                <c:ext xmlns:c15="http://schemas.microsoft.com/office/drawing/2012/chart" uri="{CE6537A1-D6FC-4f65-9D91-7224C49458BB}"/>
                <c:ext xmlns:c16="http://schemas.microsoft.com/office/drawing/2014/chart" uri="{C3380CC4-5D6E-409C-BE32-E72D297353CC}">
                  <c16:uniqueId val="{00000012-D5D0-4B07-88A1-5BAD2AC0D1FB}"/>
                </c:ext>
              </c:extLst>
            </c:dLbl>
            <c:dLbl>
              <c:idx val="6"/>
              <c:delete val="1"/>
              <c:extLst>
                <c:ext xmlns:c15="http://schemas.microsoft.com/office/drawing/2012/chart" uri="{CE6537A1-D6FC-4f65-9D91-7224C49458BB}"/>
                <c:ext xmlns:c16="http://schemas.microsoft.com/office/drawing/2014/chart" uri="{C3380CC4-5D6E-409C-BE32-E72D297353CC}">
                  <c16:uniqueId val="{00000013-D5D0-4B07-88A1-5BAD2AC0D1FB}"/>
                </c:ext>
              </c:extLst>
            </c:dLbl>
            <c:dLbl>
              <c:idx val="7"/>
              <c:delete val="1"/>
              <c:extLst>
                <c:ext xmlns:c15="http://schemas.microsoft.com/office/drawing/2012/chart" uri="{CE6537A1-D6FC-4f65-9D91-7224C49458BB}"/>
                <c:ext xmlns:c16="http://schemas.microsoft.com/office/drawing/2014/chart" uri="{C3380CC4-5D6E-409C-BE32-E72D297353CC}">
                  <c16:uniqueId val="{00000014-D5D0-4B07-88A1-5BAD2AC0D1FB}"/>
                </c:ext>
              </c:extLst>
            </c:dLbl>
            <c:dLbl>
              <c:idx val="8"/>
              <c:delete val="1"/>
              <c:extLst>
                <c:ext xmlns:c15="http://schemas.microsoft.com/office/drawing/2012/chart" uri="{CE6537A1-D6FC-4f65-9D91-7224C49458BB}"/>
                <c:ext xmlns:c16="http://schemas.microsoft.com/office/drawing/2014/chart" uri="{C3380CC4-5D6E-409C-BE32-E72D297353CC}">
                  <c16:uniqueId val="{00000015-D5D0-4B07-88A1-5BAD2AC0D1FB}"/>
                </c:ext>
              </c:extLst>
            </c:dLbl>
            <c:dLbl>
              <c:idx val="9"/>
              <c:delete val="1"/>
              <c:extLst>
                <c:ext xmlns:c15="http://schemas.microsoft.com/office/drawing/2012/chart" uri="{CE6537A1-D6FC-4f65-9D91-7224C49458BB}"/>
                <c:ext xmlns:c16="http://schemas.microsoft.com/office/drawing/2014/chart" uri="{C3380CC4-5D6E-409C-BE32-E72D297353CC}">
                  <c16:uniqueId val="{00000016-D5D0-4B07-88A1-5BAD2AC0D1FB}"/>
                </c:ext>
              </c:extLst>
            </c:dLbl>
            <c:dLbl>
              <c:idx val="10"/>
              <c:delete val="1"/>
              <c:extLst>
                <c:ext xmlns:c15="http://schemas.microsoft.com/office/drawing/2012/chart" uri="{CE6537A1-D6FC-4f65-9D91-7224C49458BB}"/>
                <c:ext xmlns:c16="http://schemas.microsoft.com/office/drawing/2014/chart" uri="{C3380CC4-5D6E-409C-BE32-E72D297353CC}">
                  <c16:uniqueId val="{00000017-D5D0-4B07-88A1-5BAD2AC0D1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trendline>
            <c:spPr>
              <a:ln w="28575" cap="rnd">
                <a:solidFill>
                  <a:srgbClr val="C00000">
                    <a:alpha val="50000"/>
                  </a:srgbClr>
                </a:solidFill>
                <a:round/>
              </a:ln>
              <a:effectLst/>
            </c:spPr>
            <c:trendlineType val="exp"/>
            <c:backward val="0.1"/>
            <c:dispRSqr val="0"/>
            <c:dispEq val="0"/>
          </c:trendline>
          <c:xVal>
            <c:numRef>
              <c:f>Stabilizing!$D$59:$D$70</c:f>
              <c:numCache>
                <c:formatCode>0.00</c:formatCode>
                <c:ptCount val="12"/>
                <c:pt idx="0">
                  <c:v>2.9</c:v>
                </c:pt>
                <c:pt idx="1">
                  <c:v>3</c:v>
                </c:pt>
                <c:pt idx="2">
                  <c:v>3.1</c:v>
                </c:pt>
                <c:pt idx="3">
                  <c:v>3.2</c:v>
                </c:pt>
                <c:pt idx="4">
                  <c:v>3.3</c:v>
                </c:pt>
                <c:pt idx="5">
                  <c:v>3.4</c:v>
                </c:pt>
                <c:pt idx="6">
                  <c:v>3.5</c:v>
                </c:pt>
                <c:pt idx="7">
                  <c:v>3.6</c:v>
                </c:pt>
                <c:pt idx="8">
                  <c:v>3.7</c:v>
                </c:pt>
                <c:pt idx="9">
                  <c:v>3.8</c:v>
                </c:pt>
                <c:pt idx="10">
                  <c:v>3.9</c:v>
                </c:pt>
                <c:pt idx="11">
                  <c:v>4</c:v>
                </c:pt>
              </c:numCache>
            </c:numRef>
          </c:xVal>
          <c:yVal>
            <c:numRef>
              <c:f>Stabilizing!$E$59:$E$70</c:f>
              <c:numCache>
                <c:formatCode>0</c:formatCode>
                <c:ptCount val="12"/>
                <c:pt idx="0">
                  <c:v>6.6513438540619099</c:v>
                </c:pt>
                <c:pt idx="1">
                  <c:v>8.2440830945624093</c:v>
                </c:pt>
                <c:pt idx="2">
                  <c:v>10.2492229987902</c:v>
                </c:pt>
                <c:pt idx="3">
                  <c:v>12.7735445784252</c:v>
                </c:pt>
                <c:pt idx="4">
                  <c:v>15.951477162568001</c:v>
                </c:pt>
                <c:pt idx="5">
                  <c:v>19.952257249713998</c:v>
                </c:pt>
                <c:pt idx="6">
                  <c:v>24.988940968422298</c:v>
                </c:pt>
                <c:pt idx="7">
                  <c:v>31.3297500930741</c:v>
                </c:pt>
                <c:pt idx="8">
                  <c:v>39.312355831434601</c:v>
                </c:pt>
                <c:pt idx="9">
                  <c:v>49.361861047790498</c:v>
                </c:pt>
                <c:pt idx="10">
                  <c:v>62.013438540619099</c:v>
                </c:pt>
                <c:pt idx="11">
                  <c:v>77.9408309456241</c:v>
                </c:pt>
              </c:numCache>
            </c:numRef>
          </c:yVal>
          <c:smooth val="1"/>
          <c:extLst>
            <c:ext xmlns:c16="http://schemas.microsoft.com/office/drawing/2014/chart" uri="{C3380CC4-5D6E-409C-BE32-E72D297353CC}">
              <c16:uniqueId val="{00000019-D5D0-4B07-88A1-5BAD2AC0D1FB}"/>
            </c:ext>
          </c:extLst>
        </c:ser>
        <c:ser>
          <c:idx val="4"/>
          <c:order val="2"/>
          <c:tx>
            <c:strRef>
              <c:f>Stabilizing!$G$58</c:f>
              <c:strCache>
                <c:ptCount val="1"/>
                <c:pt idx="0">
                  <c:v>1.5 ppm</c:v>
                </c:pt>
              </c:strCache>
            </c:strRef>
          </c:tx>
          <c:spPr>
            <a:ln w="25400" cap="rnd">
              <a:noFill/>
              <a:round/>
            </a:ln>
            <a:effectLst>
              <a:outerShdw dist="25400" dir="2700000" algn="tl" rotWithShape="0">
                <a:schemeClr val="accent5"/>
              </a:outerShdw>
            </a:effectLst>
          </c:spPr>
          <c:marker>
            <c:symbol val="none"/>
          </c:marker>
          <c:dLbls>
            <c:dLbl>
              <c:idx val="11"/>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D5D0-4B07-88A1-5BAD2AC0D1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28575" cap="rnd">
                <a:solidFill>
                  <a:schemeClr val="accent4">
                    <a:alpha val="50000"/>
                  </a:schemeClr>
                </a:solidFill>
                <a:round/>
              </a:ln>
              <a:effectLst/>
            </c:spPr>
            <c:trendlineType val="exp"/>
            <c:backward val="0.1"/>
            <c:dispRSqr val="0"/>
            <c:dispEq val="0"/>
          </c:trendline>
          <c:xVal>
            <c:numRef>
              <c:f>Stabilizing!$D$59:$D$70</c:f>
              <c:numCache>
                <c:formatCode>0.00</c:formatCode>
                <c:ptCount val="12"/>
                <c:pt idx="0">
                  <c:v>2.9</c:v>
                </c:pt>
                <c:pt idx="1">
                  <c:v>3</c:v>
                </c:pt>
                <c:pt idx="2">
                  <c:v>3.1</c:v>
                </c:pt>
                <c:pt idx="3">
                  <c:v>3.2</c:v>
                </c:pt>
                <c:pt idx="4">
                  <c:v>3.3</c:v>
                </c:pt>
                <c:pt idx="5">
                  <c:v>3.4</c:v>
                </c:pt>
                <c:pt idx="6">
                  <c:v>3.5</c:v>
                </c:pt>
                <c:pt idx="7">
                  <c:v>3.6</c:v>
                </c:pt>
                <c:pt idx="8">
                  <c:v>3.7</c:v>
                </c:pt>
                <c:pt idx="9">
                  <c:v>3.8</c:v>
                </c:pt>
                <c:pt idx="10">
                  <c:v>3.9</c:v>
                </c:pt>
                <c:pt idx="11">
                  <c:v>4</c:v>
                </c:pt>
              </c:numCache>
            </c:numRef>
          </c:xVal>
          <c:yVal>
            <c:numRef>
              <c:f>Stabilizing!$G$59:$G$70</c:f>
              <c:numCache>
                <c:formatCode>0</c:formatCode>
                <c:ptCount val="12"/>
                <c:pt idx="0">
                  <c:v>19.954031562185701</c:v>
                </c:pt>
                <c:pt idx="1">
                  <c:v>24.732249283687199</c:v>
                </c:pt>
                <c:pt idx="2">
                  <c:v>30.747668996370699</c:v>
                </c:pt>
                <c:pt idx="3">
                  <c:v>38.3206337352755</c:v>
                </c:pt>
                <c:pt idx="4">
                  <c:v>47.854431487703899</c:v>
                </c:pt>
                <c:pt idx="5">
                  <c:v>59.856771749142098</c:v>
                </c:pt>
                <c:pt idx="6">
                  <c:v>74.966822905266994</c:v>
                </c:pt>
                <c:pt idx="7">
                  <c:v>93.989250279222404</c:v>
                </c:pt>
                <c:pt idx="8">
                  <c:v>117.937067494304</c:v>
                </c:pt>
                <c:pt idx="9">
                  <c:v>148.08558314337199</c:v>
                </c:pt>
                <c:pt idx="10">
                  <c:v>186.04031562185699</c:v>
                </c:pt>
                <c:pt idx="11">
                  <c:v>233.82249283687199</c:v>
                </c:pt>
              </c:numCache>
            </c:numRef>
          </c:yVal>
          <c:smooth val="1"/>
          <c:extLst>
            <c:ext xmlns:c16="http://schemas.microsoft.com/office/drawing/2014/chart" uri="{C3380CC4-5D6E-409C-BE32-E72D297353CC}">
              <c16:uniqueId val="{0000001C-D5D0-4B07-88A1-5BAD2AC0D1FB}"/>
            </c:ext>
          </c:extLst>
        </c:ser>
        <c:ser>
          <c:idx val="3"/>
          <c:order val="3"/>
          <c:tx>
            <c:v>Selected</c:v>
          </c:tx>
          <c:spPr>
            <a:ln w="82550" cap="rnd">
              <a:solidFill>
                <a:schemeClr val="accent4">
                  <a:lumMod val="75000"/>
                </a:schemeClr>
              </a:solidFill>
              <a:round/>
            </a:ln>
            <a:effectLst/>
          </c:spPr>
          <c:marker>
            <c:symbol val="none"/>
          </c:marker>
          <c:dPt>
            <c:idx val="1"/>
            <c:marker>
              <c:symbol val="none"/>
            </c:marker>
            <c:bubble3D val="0"/>
            <c:spPr>
              <a:ln w="82550" cap="rnd">
                <a:solidFill>
                  <a:schemeClr val="accent4">
                    <a:lumMod val="75000"/>
                  </a:schemeClr>
                </a:solidFill>
                <a:round/>
              </a:ln>
              <a:effectLst/>
            </c:spPr>
            <c:extLst>
              <c:ext xmlns:c16="http://schemas.microsoft.com/office/drawing/2014/chart" uri="{C3380CC4-5D6E-409C-BE32-E72D297353CC}">
                <c16:uniqueId val="{0000001E-D5D0-4B07-88A1-5BAD2AC0D1FB}"/>
              </c:ext>
            </c:extLst>
          </c:dPt>
          <c:dLbls>
            <c:dLbl>
              <c:idx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l"/>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ightArrowCallout">
                      <a:avLst/>
                    </a:prstGeom>
                    <a:noFill/>
                    <a:ln>
                      <a:noFill/>
                    </a:ln>
                  </c15:spPr>
                </c:ext>
                <c:ext xmlns:c16="http://schemas.microsoft.com/office/drawing/2014/chart" uri="{C3380CC4-5D6E-409C-BE32-E72D297353CC}">
                  <c16:uniqueId val="{0000001F-D5D0-4B07-88A1-5BAD2AC0D1FB}"/>
                </c:ext>
              </c:extLst>
            </c:dLbl>
            <c:dLbl>
              <c:idx val="1"/>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upArrowCallout">
                      <a:avLst/>
                    </a:prstGeom>
                    <a:noFill/>
                    <a:ln>
                      <a:noFill/>
                    </a:ln>
                  </c15:spPr>
                </c:ext>
                <c:ext xmlns:c16="http://schemas.microsoft.com/office/drawing/2014/chart" uri="{C3380CC4-5D6E-409C-BE32-E72D297353CC}">
                  <c16:uniqueId val="{0000001E-D5D0-4B07-88A1-5BAD2AC0D1FB}"/>
                </c:ext>
              </c:extLst>
            </c:dLbl>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downArrowCallout">
                    <a:avLst/>
                  </a:prstGeom>
                  <a:noFill/>
                  <a:ln>
                    <a:noFill/>
                  </a:ln>
                </c15:spPr>
                <c15:showLeaderLines val="0"/>
              </c:ext>
            </c:extLst>
          </c:dLbls>
          <c:xVal>
            <c:numRef>
              <c:f>(Stabilizing!$F$46,Stabilizing!$F$46,Stabilizing!$F$46)</c:f>
              <c:numCache>
                <c:formatCode>0.0</c:formatCode>
                <c:ptCount val="3"/>
                <c:pt idx="0">
                  <c:v>3.8</c:v>
                </c:pt>
                <c:pt idx="1">
                  <c:v>3.8</c:v>
                </c:pt>
                <c:pt idx="2">
                  <c:v>3.8</c:v>
                </c:pt>
              </c:numCache>
            </c:numRef>
          </c:xVal>
          <c:yVal>
            <c:numRef>
              <c:f>(Stabilizing!$E$53,Stabilizing!$E$52,Stabilizing!$E$54)</c:f>
              <c:numCache>
                <c:formatCode>0\ "ppm"</c:formatCode>
                <c:ptCount val="3"/>
                <c:pt idx="0">
                  <c:v>78.978977676464794</c:v>
                </c:pt>
                <c:pt idx="1">
                  <c:v>49.361861047790498</c:v>
                </c:pt>
                <c:pt idx="2">
                  <c:v>148.08558314337199</c:v>
                </c:pt>
              </c:numCache>
            </c:numRef>
          </c:yVal>
          <c:smooth val="1"/>
          <c:extLst>
            <c:ext xmlns:c16="http://schemas.microsoft.com/office/drawing/2014/chart" uri="{C3380CC4-5D6E-409C-BE32-E72D297353CC}">
              <c16:uniqueId val="{00000020-D5D0-4B07-88A1-5BAD2AC0D1FB}"/>
            </c:ext>
          </c:extLst>
        </c:ser>
        <c:dLbls>
          <c:showLegendKey val="0"/>
          <c:showVal val="0"/>
          <c:showCatName val="0"/>
          <c:showSerName val="0"/>
          <c:showPercent val="0"/>
          <c:showBubbleSize val="0"/>
        </c:dLbls>
        <c:axId val="827977192"/>
        <c:axId val="827977584"/>
      </c:scatterChart>
      <c:valAx>
        <c:axId val="827977192"/>
        <c:scaling>
          <c:orientation val="minMax"/>
          <c:max val="4"/>
          <c:min val="2.8"/>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lt1"/>
                    </a:solidFill>
                    <a:latin typeface="+mn-lt"/>
                    <a:ea typeface="+mn-ea"/>
                    <a:cs typeface="+mn-cs"/>
                  </a:defRPr>
                </a:pPr>
                <a:r>
                  <a:rPr lang="en-US" sz="1000"/>
                  <a:t>pH</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2700000" spcFirstLastPara="1" vertOverflow="ellipsis" wrap="square" anchor="ctr" anchorCtr="1"/>
          <a:lstStyle/>
          <a:p>
            <a:pPr>
              <a:defRPr sz="900" b="0" i="0" u="none" strike="noStrike" kern="1200" baseline="0">
                <a:solidFill>
                  <a:schemeClr val="lt1"/>
                </a:solidFill>
                <a:latin typeface="+mn-lt"/>
                <a:ea typeface="+mn-ea"/>
                <a:cs typeface="+mn-cs"/>
              </a:defRPr>
            </a:pPr>
            <a:endParaRPr lang="en-US"/>
          </a:p>
        </c:txPr>
        <c:crossAx val="827977584"/>
        <c:crosses val="autoZero"/>
        <c:crossBetween val="midCat"/>
        <c:majorUnit val="0.1"/>
      </c:valAx>
      <c:valAx>
        <c:axId val="827977584"/>
        <c:scaling>
          <c:orientation val="minMax"/>
          <c:min val="0"/>
        </c:scaling>
        <c:delete val="0"/>
        <c:axPos val="l"/>
        <c:majorGridlines>
          <c:spPr>
            <a:ln w="9525" cap="flat" cmpd="sng" algn="ctr">
              <a:solidFill>
                <a:schemeClr val="lt1">
                  <a:alpha val="2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lt1"/>
                    </a:solidFill>
                    <a:latin typeface="+mn-lt"/>
                    <a:ea typeface="+mn-ea"/>
                    <a:cs typeface="+mn-cs"/>
                  </a:defRPr>
                </a:pPr>
                <a:r>
                  <a:rPr lang="en-US" sz="1000"/>
                  <a:t>Free SO</a:t>
                </a:r>
                <a:r>
                  <a:rPr lang="en-US" sz="1000" baseline="-25000"/>
                  <a:t>2</a:t>
                </a:r>
                <a:r>
                  <a:rPr lang="en-US" sz="1000" baseline="0"/>
                  <a:t> (ppm)</a:t>
                </a:r>
                <a:endParaRPr lang="en-US" sz="1000" baseline="-25000"/>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l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827977192"/>
        <c:crosses val="autoZero"/>
        <c:crossBetween val="midCat"/>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none" spc="100" normalizeH="0" baseline="0">
                <a:solidFill>
                  <a:schemeClr val="lt1"/>
                </a:solidFill>
                <a:latin typeface="+mn-lt"/>
                <a:ea typeface="+mn-ea"/>
                <a:cs typeface="+mn-cs"/>
              </a:defRPr>
            </a:pPr>
            <a:r>
              <a:rPr lang="en-US" cap="none" baseline="0"/>
              <a:t>Potassium Sorbate</a:t>
            </a:r>
          </a:p>
        </c:rich>
      </c:tx>
      <c:layout>
        <c:manualLayout>
          <c:xMode val="edge"/>
          <c:yMode val="edge"/>
          <c:x val="0.27028763859924759"/>
          <c:y val="1.1111111111111112E-2"/>
        </c:manualLayout>
      </c:layout>
      <c:overlay val="0"/>
      <c:spPr>
        <a:noFill/>
        <a:ln>
          <a:noFill/>
        </a:ln>
        <a:effectLst/>
      </c:spPr>
      <c:txPr>
        <a:bodyPr rot="0" spcFirstLastPara="1" vertOverflow="ellipsis" vert="horz" wrap="square" anchor="ctr" anchorCtr="1"/>
        <a:lstStyle/>
        <a:p>
          <a:pPr>
            <a:defRPr sz="1500" b="1" i="0" u="none" strike="noStrike" kern="1200" cap="none"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0.19263228360791329"/>
          <c:y val="0.22782225770657299"/>
          <c:w val="0.72788989852510944"/>
          <c:h val="0.5434898619236409"/>
        </c:manualLayout>
      </c:layout>
      <c:scatterChart>
        <c:scatterStyle val="smoothMarker"/>
        <c:varyColors val="0"/>
        <c:ser>
          <c:idx val="0"/>
          <c:order val="0"/>
          <c:spPr>
            <a:ln w="28575" cap="rnd">
              <a:solidFill>
                <a:schemeClr val="lt1">
                  <a:alpha val="50000"/>
                </a:schemeClr>
              </a:solidFill>
              <a:round/>
            </a:ln>
            <a:effectLst>
              <a:outerShdw dist="25400" dir="2700000" algn="tl" rotWithShape="0">
                <a:schemeClr val="accent1"/>
              </a:outerShdw>
            </a:effectLst>
          </c:spPr>
          <c:marker>
            <c:symbol val="none"/>
          </c:marker>
          <c:xVal>
            <c:numRef>
              <c:f>Stabilizing!$K$78:$K$181</c:f>
              <c:numCache>
                <c:formatCode>0.0%</c:formatCode>
                <c:ptCount val="104"/>
                <c:pt idx="0">
                  <c:v>0</c:v>
                </c:pt>
                <c:pt idx="1">
                  <c:v>2E-3</c:v>
                </c:pt>
                <c:pt idx="2">
                  <c:v>4.0000000000000001E-3</c:v>
                </c:pt>
                <c:pt idx="3">
                  <c:v>6.0000000000000001E-3</c:v>
                </c:pt>
                <c:pt idx="4">
                  <c:v>8.0000000000000002E-3</c:v>
                </c:pt>
                <c:pt idx="5">
                  <c:v>0.01</c:v>
                </c:pt>
                <c:pt idx="6">
                  <c:v>1.2E-2</c:v>
                </c:pt>
                <c:pt idx="7">
                  <c:v>1.4E-2</c:v>
                </c:pt>
                <c:pt idx="8">
                  <c:v>1.6E-2</c:v>
                </c:pt>
                <c:pt idx="9">
                  <c:v>1.7999999999999999E-2</c:v>
                </c:pt>
                <c:pt idx="10">
                  <c:v>0.02</c:v>
                </c:pt>
                <c:pt idx="11">
                  <c:v>2.1999999999999999E-2</c:v>
                </c:pt>
                <c:pt idx="12">
                  <c:v>2.4E-2</c:v>
                </c:pt>
                <c:pt idx="13">
                  <c:v>2.5999999999999999E-2</c:v>
                </c:pt>
                <c:pt idx="14">
                  <c:v>2.8000000000000001E-2</c:v>
                </c:pt>
                <c:pt idx="15">
                  <c:v>0.03</c:v>
                </c:pt>
                <c:pt idx="16">
                  <c:v>3.2000000000000001E-2</c:v>
                </c:pt>
                <c:pt idx="17">
                  <c:v>3.4000000000000002E-2</c:v>
                </c:pt>
                <c:pt idx="18">
                  <c:v>3.5999999999999997E-2</c:v>
                </c:pt>
                <c:pt idx="19">
                  <c:v>3.7999999999999999E-2</c:v>
                </c:pt>
                <c:pt idx="20">
                  <c:v>0.04</c:v>
                </c:pt>
                <c:pt idx="21">
                  <c:v>4.2000000000000003E-2</c:v>
                </c:pt>
                <c:pt idx="22">
                  <c:v>4.3999999999999997E-2</c:v>
                </c:pt>
                <c:pt idx="23">
                  <c:v>4.5999999999999999E-2</c:v>
                </c:pt>
                <c:pt idx="24">
                  <c:v>4.8000000000000001E-2</c:v>
                </c:pt>
                <c:pt idx="25">
                  <c:v>0.05</c:v>
                </c:pt>
                <c:pt idx="26">
                  <c:v>5.1999999999999998E-2</c:v>
                </c:pt>
                <c:pt idx="27">
                  <c:v>5.3999999999999999E-2</c:v>
                </c:pt>
                <c:pt idx="28">
                  <c:v>5.6000000000000001E-2</c:v>
                </c:pt>
                <c:pt idx="29">
                  <c:v>5.8000000000000003E-2</c:v>
                </c:pt>
                <c:pt idx="30">
                  <c:v>0.06</c:v>
                </c:pt>
                <c:pt idx="31">
                  <c:v>6.2E-2</c:v>
                </c:pt>
                <c:pt idx="32">
                  <c:v>6.4000000000000001E-2</c:v>
                </c:pt>
                <c:pt idx="33">
                  <c:v>6.6000000000000003E-2</c:v>
                </c:pt>
                <c:pt idx="34">
                  <c:v>6.8000000000000005E-2</c:v>
                </c:pt>
                <c:pt idx="35">
                  <c:v>7.0000000000000007E-2</c:v>
                </c:pt>
                <c:pt idx="36">
                  <c:v>7.1999999999999995E-2</c:v>
                </c:pt>
                <c:pt idx="37">
                  <c:v>7.3999999999999996E-2</c:v>
                </c:pt>
                <c:pt idx="38">
                  <c:v>7.5999999999999998E-2</c:v>
                </c:pt>
                <c:pt idx="39">
                  <c:v>7.8E-2</c:v>
                </c:pt>
                <c:pt idx="40">
                  <c:v>0.08</c:v>
                </c:pt>
                <c:pt idx="41">
                  <c:v>8.2000000000000003E-2</c:v>
                </c:pt>
                <c:pt idx="42">
                  <c:v>8.4000000000000005E-2</c:v>
                </c:pt>
                <c:pt idx="43">
                  <c:v>8.5999999999999993E-2</c:v>
                </c:pt>
                <c:pt idx="44">
                  <c:v>8.7999999999999995E-2</c:v>
                </c:pt>
                <c:pt idx="45">
                  <c:v>0.09</c:v>
                </c:pt>
                <c:pt idx="46">
                  <c:v>9.1999999999999998E-2</c:v>
                </c:pt>
                <c:pt idx="47">
                  <c:v>9.4E-2</c:v>
                </c:pt>
                <c:pt idx="48">
                  <c:v>9.6000000000000002E-2</c:v>
                </c:pt>
                <c:pt idx="49">
                  <c:v>9.8000000000000004E-2</c:v>
                </c:pt>
                <c:pt idx="50">
                  <c:v>0.1</c:v>
                </c:pt>
                <c:pt idx="51">
                  <c:v>0.10199999999999999</c:v>
                </c:pt>
                <c:pt idx="52">
                  <c:v>0.104</c:v>
                </c:pt>
                <c:pt idx="53">
                  <c:v>0.106</c:v>
                </c:pt>
                <c:pt idx="54">
                  <c:v>0.108</c:v>
                </c:pt>
                <c:pt idx="55">
                  <c:v>0.11</c:v>
                </c:pt>
                <c:pt idx="56">
                  <c:v>0.112</c:v>
                </c:pt>
                <c:pt idx="57">
                  <c:v>0.114</c:v>
                </c:pt>
                <c:pt idx="58">
                  <c:v>0.11600000000000001</c:v>
                </c:pt>
                <c:pt idx="59">
                  <c:v>0.11799999999999999</c:v>
                </c:pt>
                <c:pt idx="60">
                  <c:v>0.12</c:v>
                </c:pt>
                <c:pt idx="61">
                  <c:v>0.122</c:v>
                </c:pt>
                <c:pt idx="62">
                  <c:v>0.124</c:v>
                </c:pt>
                <c:pt idx="63">
                  <c:v>0.126</c:v>
                </c:pt>
                <c:pt idx="64">
                  <c:v>0.128</c:v>
                </c:pt>
                <c:pt idx="65">
                  <c:v>0.13</c:v>
                </c:pt>
                <c:pt idx="66">
                  <c:v>0.13200000000000001</c:v>
                </c:pt>
                <c:pt idx="67">
                  <c:v>0.13400000000000001</c:v>
                </c:pt>
                <c:pt idx="68">
                  <c:v>0.13600000000000001</c:v>
                </c:pt>
                <c:pt idx="69">
                  <c:v>0.13800000000000001</c:v>
                </c:pt>
                <c:pt idx="70">
                  <c:v>0.14000000000000001</c:v>
                </c:pt>
                <c:pt idx="71">
                  <c:v>0.14199999999999999</c:v>
                </c:pt>
                <c:pt idx="72">
                  <c:v>0.14399999999999999</c:v>
                </c:pt>
                <c:pt idx="73">
                  <c:v>0.14599999999999999</c:v>
                </c:pt>
                <c:pt idx="74">
                  <c:v>0.14799999999999999</c:v>
                </c:pt>
                <c:pt idx="75">
                  <c:v>0.15</c:v>
                </c:pt>
                <c:pt idx="76">
                  <c:v>0.152</c:v>
                </c:pt>
                <c:pt idx="77">
                  <c:v>0.154</c:v>
                </c:pt>
                <c:pt idx="78">
                  <c:v>0.156</c:v>
                </c:pt>
                <c:pt idx="79">
                  <c:v>0.158</c:v>
                </c:pt>
                <c:pt idx="80">
                  <c:v>0.16</c:v>
                </c:pt>
                <c:pt idx="81">
                  <c:v>0.16200000000000001</c:v>
                </c:pt>
                <c:pt idx="82">
                  <c:v>0.16400000000000001</c:v>
                </c:pt>
                <c:pt idx="83">
                  <c:v>0.16600000000000001</c:v>
                </c:pt>
                <c:pt idx="84">
                  <c:v>0.16800000000000001</c:v>
                </c:pt>
                <c:pt idx="85">
                  <c:v>0.17</c:v>
                </c:pt>
                <c:pt idx="86">
                  <c:v>0.17199999999999999</c:v>
                </c:pt>
                <c:pt idx="87">
                  <c:v>0.17399999999999999</c:v>
                </c:pt>
                <c:pt idx="88">
                  <c:v>0.17599999999999999</c:v>
                </c:pt>
                <c:pt idx="89">
                  <c:v>0.17799999999999999</c:v>
                </c:pt>
                <c:pt idx="90">
                  <c:v>0.18</c:v>
                </c:pt>
                <c:pt idx="91">
                  <c:v>0.182</c:v>
                </c:pt>
                <c:pt idx="92">
                  <c:v>0.184</c:v>
                </c:pt>
                <c:pt idx="93">
                  <c:v>0.186</c:v>
                </c:pt>
                <c:pt idx="94">
                  <c:v>0.188</c:v>
                </c:pt>
                <c:pt idx="95">
                  <c:v>0.19</c:v>
                </c:pt>
                <c:pt idx="96">
                  <c:v>0.192</c:v>
                </c:pt>
                <c:pt idx="97">
                  <c:v>0.19400000000000001</c:v>
                </c:pt>
                <c:pt idx="98">
                  <c:v>0.19600000000000001</c:v>
                </c:pt>
                <c:pt idx="99">
                  <c:v>0.19800000000000001</c:v>
                </c:pt>
                <c:pt idx="100">
                  <c:v>0.2</c:v>
                </c:pt>
                <c:pt idx="101">
                  <c:v>0.20200000000000001</c:v>
                </c:pt>
                <c:pt idx="102">
                  <c:v>0.20399999999999999</c:v>
                </c:pt>
                <c:pt idx="103">
                  <c:v>0.20599999999999999</c:v>
                </c:pt>
              </c:numCache>
            </c:numRef>
          </c:xVal>
          <c:yVal>
            <c:numRef>
              <c:f>Stabilizing!$L$78:$L$181</c:f>
              <c:numCache>
                <c:formatCode>0.000</c:formatCode>
                <c:ptCount val="104"/>
                <c:pt idx="0">
                  <c:v>0.75700000000000012</c:v>
                </c:pt>
                <c:pt idx="1">
                  <c:v>0.75700000000000012</c:v>
                </c:pt>
                <c:pt idx="2">
                  <c:v>0.75700000000000012</c:v>
                </c:pt>
                <c:pt idx="3">
                  <c:v>0.75700000000000012</c:v>
                </c:pt>
                <c:pt idx="4">
                  <c:v>0.75700000000000012</c:v>
                </c:pt>
                <c:pt idx="5">
                  <c:v>0.75700000000000012</c:v>
                </c:pt>
                <c:pt idx="6">
                  <c:v>0.75700000000000012</c:v>
                </c:pt>
                <c:pt idx="7">
                  <c:v>0.75700000000000012</c:v>
                </c:pt>
                <c:pt idx="8">
                  <c:v>0.75700000000000012</c:v>
                </c:pt>
                <c:pt idx="9">
                  <c:v>0.75700000000000012</c:v>
                </c:pt>
                <c:pt idx="10">
                  <c:v>0.75700000000000012</c:v>
                </c:pt>
                <c:pt idx="11">
                  <c:v>0.75700000000000012</c:v>
                </c:pt>
                <c:pt idx="12">
                  <c:v>0.75700000000000012</c:v>
                </c:pt>
                <c:pt idx="13">
                  <c:v>0.75700000000000012</c:v>
                </c:pt>
                <c:pt idx="14">
                  <c:v>0.75700000000000012</c:v>
                </c:pt>
                <c:pt idx="15">
                  <c:v>0.75700000000000012</c:v>
                </c:pt>
                <c:pt idx="16">
                  <c:v>0.75700000000000012</c:v>
                </c:pt>
                <c:pt idx="17">
                  <c:v>0.75700000000000012</c:v>
                </c:pt>
                <c:pt idx="18">
                  <c:v>0.75700000000000012</c:v>
                </c:pt>
                <c:pt idx="19">
                  <c:v>0.75700000000000012</c:v>
                </c:pt>
                <c:pt idx="20">
                  <c:v>0.75700000000000012</c:v>
                </c:pt>
                <c:pt idx="21">
                  <c:v>0.75700000000000012</c:v>
                </c:pt>
                <c:pt idx="22">
                  <c:v>0.75700000000000012</c:v>
                </c:pt>
                <c:pt idx="23">
                  <c:v>0.75700000000000012</c:v>
                </c:pt>
                <c:pt idx="24">
                  <c:v>0.75700000000000012</c:v>
                </c:pt>
                <c:pt idx="25">
                  <c:v>0.75700000000000012</c:v>
                </c:pt>
                <c:pt idx="26">
                  <c:v>0.75700000000000012</c:v>
                </c:pt>
                <c:pt idx="27">
                  <c:v>0.75700000000000012</c:v>
                </c:pt>
                <c:pt idx="28">
                  <c:v>0.75700000000000012</c:v>
                </c:pt>
                <c:pt idx="29">
                  <c:v>0.75700000000000012</c:v>
                </c:pt>
                <c:pt idx="30">
                  <c:v>0.75700000000000012</c:v>
                </c:pt>
                <c:pt idx="31">
                  <c:v>0.75700000000000012</c:v>
                </c:pt>
                <c:pt idx="32">
                  <c:v>0.75700000000000012</c:v>
                </c:pt>
                <c:pt idx="33">
                  <c:v>0.75700000000000012</c:v>
                </c:pt>
                <c:pt idx="34">
                  <c:v>0.75700000000000012</c:v>
                </c:pt>
                <c:pt idx="35">
                  <c:v>0.75700000000000012</c:v>
                </c:pt>
                <c:pt idx="36">
                  <c:v>0.75700000000000012</c:v>
                </c:pt>
                <c:pt idx="37">
                  <c:v>0.75700000000000012</c:v>
                </c:pt>
                <c:pt idx="38">
                  <c:v>0.75700000000000012</c:v>
                </c:pt>
                <c:pt idx="39">
                  <c:v>0.75700000000000012</c:v>
                </c:pt>
                <c:pt idx="40">
                  <c:v>0.75700000000000012</c:v>
                </c:pt>
                <c:pt idx="41">
                  <c:v>0.75700000000000012</c:v>
                </c:pt>
                <c:pt idx="42">
                  <c:v>0.75700000000000012</c:v>
                </c:pt>
                <c:pt idx="43">
                  <c:v>0.75700000000000012</c:v>
                </c:pt>
                <c:pt idx="44">
                  <c:v>0.75700000000000012</c:v>
                </c:pt>
                <c:pt idx="45">
                  <c:v>0.75700000000000012</c:v>
                </c:pt>
                <c:pt idx="46">
                  <c:v>0.75700000000000012</c:v>
                </c:pt>
                <c:pt idx="47">
                  <c:v>0.75700000000000012</c:v>
                </c:pt>
                <c:pt idx="48">
                  <c:v>0.75700000000000012</c:v>
                </c:pt>
                <c:pt idx="49">
                  <c:v>0.75700000000000012</c:v>
                </c:pt>
                <c:pt idx="50">
                  <c:v>0.75700000000000012</c:v>
                </c:pt>
                <c:pt idx="51">
                  <c:v>0.75700000000000012</c:v>
                </c:pt>
                <c:pt idx="52">
                  <c:v>0.75700000000000012</c:v>
                </c:pt>
                <c:pt idx="53">
                  <c:v>0.75700000000000012</c:v>
                </c:pt>
                <c:pt idx="54">
                  <c:v>0.75576447655616885</c:v>
                </c:pt>
                <c:pt idx="55">
                  <c:v>0.71966923143801043</c:v>
                </c:pt>
                <c:pt idx="56">
                  <c:v>0.68443248661939948</c:v>
                </c:pt>
                <c:pt idx="57">
                  <c:v>0.65005424210033469</c:v>
                </c:pt>
                <c:pt idx="58">
                  <c:v>0.61653449788081649</c:v>
                </c:pt>
                <c:pt idx="59">
                  <c:v>0.58387325396084533</c:v>
                </c:pt>
                <c:pt idx="60">
                  <c:v>0.55207051034042043</c:v>
                </c:pt>
                <c:pt idx="61">
                  <c:v>0.52112626701954234</c:v>
                </c:pt>
                <c:pt idx="62">
                  <c:v>0.49104052399821102</c:v>
                </c:pt>
                <c:pt idx="63">
                  <c:v>0.46181328127642562</c:v>
                </c:pt>
                <c:pt idx="64">
                  <c:v>0.43344453885418754</c:v>
                </c:pt>
                <c:pt idx="65">
                  <c:v>0.40593429673149667</c:v>
                </c:pt>
                <c:pt idx="66">
                  <c:v>0.37928255490835172</c:v>
                </c:pt>
                <c:pt idx="67">
                  <c:v>0.35348931338475403</c:v>
                </c:pt>
                <c:pt idx="68">
                  <c:v>0.32855457216070233</c:v>
                </c:pt>
                <c:pt idx="69">
                  <c:v>0.30447833123619733</c:v>
                </c:pt>
                <c:pt idx="70">
                  <c:v>0.28126059061123965</c:v>
                </c:pt>
                <c:pt idx="71">
                  <c:v>0.25890135028582878</c:v>
                </c:pt>
                <c:pt idx="72">
                  <c:v>0.23740061025996428</c:v>
                </c:pt>
                <c:pt idx="73">
                  <c:v>0.21675837053364658</c:v>
                </c:pt>
                <c:pt idx="74">
                  <c:v>0.19697463110687524</c:v>
                </c:pt>
                <c:pt idx="75">
                  <c:v>0.17804939197965028</c:v>
                </c:pt>
                <c:pt idx="76">
                  <c:v>0.15998265315197255</c:v>
                </c:pt>
                <c:pt idx="77">
                  <c:v>0.14277441462384119</c:v>
                </c:pt>
                <c:pt idx="78">
                  <c:v>0.12642467639525667</c:v>
                </c:pt>
                <c:pt idx="79">
                  <c:v>0.11093343846621895</c:v>
                </c:pt>
                <c:pt idx="80">
                  <c:v>9.6300700836728051E-2</c:v>
                </c:pt>
                <c:pt idx="81">
                  <c:v>8.2526463506782569E-2</c:v>
                </c:pt>
                <c:pt idx="82">
                  <c:v>6.9610726476385304E-2</c:v>
                </c:pt>
                <c:pt idx="83">
                  <c:v>5.7553489745534384E-2</c:v>
                </c:pt>
                <c:pt idx="84">
                  <c:v>4.6354753314229814E-2</c:v>
                </c:pt>
                <c:pt idx="85">
                  <c:v>3.6014517182472526E-2</c:v>
                </c:pt>
                <c:pt idx="86">
                  <c:v>2.6532781350261592E-2</c:v>
                </c:pt>
                <c:pt idx="87">
                  <c:v>1.7909545817596552E-2</c:v>
                </c:pt>
                <c:pt idx="88">
                  <c:v>1.0144810584478789E-2</c:v>
                </c:pt>
                <c:pt idx="89">
                  <c:v>3.2385756509078403E-3</c:v>
                </c:pt>
                <c:pt idx="90">
                  <c:v>-2.8091589831162915E-3</c:v>
                </c:pt>
                <c:pt idx="91">
                  <c:v>-7.9983933175936071E-3</c:v>
                </c:pt>
                <c:pt idx="92">
                  <c:v>-1.232912735252503E-2</c:v>
                </c:pt>
                <c:pt idx="93">
                  <c:v>-1.5801361087909638E-2</c:v>
                </c:pt>
                <c:pt idx="94">
                  <c:v>-1.8415094523747431E-2</c:v>
                </c:pt>
                <c:pt idx="95">
                  <c:v>-2.0170327660038408E-2</c:v>
                </c:pt>
                <c:pt idx="96">
                  <c:v>-2.1067060496782107E-2</c:v>
                </c:pt>
                <c:pt idx="97">
                  <c:v>-2.1105293033979452E-2</c:v>
                </c:pt>
                <c:pt idx="98">
                  <c:v>-2.02850252716309E-2</c:v>
                </c:pt>
                <c:pt idx="99">
                  <c:v>-1.8606257209735539E-2</c:v>
                </c:pt>
                <c:pt idx="100">
                  <c:v>-1.6068988848291974E-2</c:v>
                </c:pt>
                <c:pt idx="101">
                  <c:v>-1.2673220187303439E-2</c:v>
                </c:pt>
                <c:pt idx="102">
                  <c:v>-8.4189512267680913E-3</c:v>
                </c:pt>
                <c:pt idx="103">
                  <c:v>-3.3061819666859262E-3</c:v>
                </c:pt>
              </c:numCache>
            </c:numRef>
          </c:yVal>
          <c:smooth val="1"/>
          <c:extLst>
            <c:ext xmlns:c16="http://schemas.microsoft.com/office/drawing/2014/chart" uri="{C3380CC4-5D6E-409C-BE32-E72D297353CC}">
              <c16:uniqueId val="{00000000-E807-40C5-AB07-2A1B42B905EE}"/>
            </c:ext>
          </c:extLst>
        </c:ser>
        <c:ser>
          <c:idx val="1"/>
          <c:order val="1"/>
          <c:spPr>
            <a:ln w="28575" cap="rnd">
              <a:noFill/>
              <a:round/>
            </a:ln>
            <a:effectLst>
              <a:outerShdw dist="25400" dir="2700000" algn="tl" rotWithShape="0">
                <a:schemeClr val="accent2"/>
              </a:outerShdw>
            </a:effectLst>
          </c:spPr>
          <c:marker>
            <c:symbol val="circle"/>
            <c:size val="10"/>
            <c:spPr>
              <a:solidFill>
                <a:schemeClr val="accent4"/>
              </a:solidFill>
              <a:ln w="31750">
                <a:solidFill>
                  <a:srgbClr val="FFFFFF">
                    <a:alpha val="49804"/>
                  </a:srgbClr>
                </a:solidFill>
                <a:round/>
              </a:ln>
              <a:effectLst/>
            </c:spPr>
          </c:marker>
          <c:dLbls>
            <c:dLbl>
              <c:idx val="0"/>
              <c:layout>
                <c:manualLayout>
                  <c:x val="-5.5678990539406673E-3"/>
                  <c:y val="-8.4988188976377957E-2"/>
                </c:manualLayout>
              </c:layout>
              <c:spPr>
                <a:gradFill rotWithShape="1">
                  <a:gsLst>
                    <a:gs pos="0">
                      <a:srgbClr val="FFC000">
                        <a:satMod val="103000"/>
                        <a:lumMod val="102000"/>
                        <a:tint val="94000"/>
                      </a:srgbClr>
                    </a:gs>
                    <a:gs pos="50000">
                      <a:srgbClr val="FFC000">
                        <a:satMod val="110000"/>
                        <a:lumMod val="100000"/>
                        <a:shade val="100000"/>
                      </a:srgbClr>
                    </a:gs>
                    <a:gs pos="100000">
                      <a:srgbClr val="FFC000">
                        <a:lumMod val="99000"/>
                        <a:satMod val="120000"/>
                        <a:shade val="78000"/>
                      </a:srgbClr>
                    </a:gs>
                  </a:gsLst>
                  <a:lin ang="5400000" scaled="0"/>
                </a:gradFill>
                <a:ln>
                  <a:noFill/>
                </a:ln>
                <a:effectLst>
                  <a:outerShdw blurRad="57150" dist="19050" dir="5400000" algn="ctr" rotWithShape="0">
                    <a:srgbClr val="000000">
                      <a:alpha val="63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E807-40C5-AB07-2A1B42B905EE}"/>
                </c:ext>
              </c:extLst>
            </c:dLbl>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LeaderLines val="0"/>
              </c:ext>
            </c:extLst>
          </c:dLbls>
          <c:xVal>
            <c:numRef>
              <c:f>Stabilizing!$E$77</c:f>
              <c:numCache>
                <c:formatCode>0.0%</c:formatCode>
                <c:ptCount val="1"/>
                <c:pt idx="0">
                  <c:v>0.14000000000000001</c:v>
                </c:pt>
              </c:numCache>
            </c:numRef>
          </c:xVal>
          <c:yVal>
            <c:numRef>
              <c:f>Stabilizing!$D$88</c:f>
              <c:numCache>
                <c:formatCode>0.000</c:formatCode>
                <c:ptCount val="1"/>
                <c:pt idx="0">
                  <c:v>0.28126059061123965</c:v>
                </c:pt>
              </c:numCache>
            </c:numRef>
          </c:yVal>
          <c:smooth val="1"/>
          <c:extLst>
            <c:ext xmlns:c16="http://schemas.microsoft.com/office/drawing/2014/chart" uri="{C3380CC4-5D6E-409C-BE32-E72D297353CC}">
              <c16:uniqueId val="{00000002-E807-40C5-AB07-2A1B42B905EE}"/>
            </c:ext>
          </c:extLst>
        </c:ser>
        <c:dLbls>
          <c:showLegendKey val="0"/>
          <c:showVal val="0"/>
          <c:showCatName val="0"/>
          <c:showSerName val="0"/>
          <c:showPercent val="0"/>
          <c:showBubbleSize val="0"/>
        </c:dLbls>
        <c:axId val="827978368"/>
        <c:axId val="827978760"/>
      </c:scatterChart>
      <c:valAx>
        <c:axId val="827978368"/>
        <c:scaling>
          <c:orientation val="minMax"/>
          <c:max val="0.18000000000000002"/>
          <c:min val="5.000000000000001E-2"/>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r>
                  <a:rPr lang="en-US"/>
                  <a:t>%ABV</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2700000" spcFirstLastPara="1" vertOverflow="ellipsis" wrap="square" anchor="ctr" anchorCtr="1"/>
          <a:lstStyle/>
          <a:p>
            <a:pPr>
              <a:defRPr sz="900" b="0" i="0" u="none" strike="noStrike" kern="1200" baseline="0">
                <a:solidFill>
                  <a:schemeClr val="lt1"/>
                </a:solidFill>
                <a:latin typeface="+mn-lt"/>
                <a:ea typeface="+mn-ea"/>
                <a:cs typeface="+mn-cs"/>
              </a:defRPr>
            </a:pPr>
            <a:endParaRPr lang="en-US"/>
          </a:p>
        </c:txPr>
        <c:crossAx val="827978760"/>
        <c:crosses val="autoZero"/>
        <c:crossBetween val="midCat"/>
        <c:majorUnit val="2.0000000000000004E-2"/>
      </c:valAx>
      <c:valAx>
        <c:axId val="827978760"/>
        <c:scaling>
          <c:orientation val="minMax"/>
          <c:min val="0"/>
        </c:scaling>
        <c:delete val="0"/>
        <c:axPos val="l"/>
        <c:majorGridlines>
          <c:spPr>
            <a:ln w="9525" cap="flat" cmpd="sng" algn="ctr">
              <a:solidFill>
                <a:schemeClr val="lt1">
                  <a:alpha val="25000"/>
                </a:schemeClr>
              </a:solidFill>
              <a:round/>
            </a:ln>
            <a:effectLst/>
          </c:spPr>
        </c:majorGridlines>
        <c:title>
          <c:tx>
            <c:strRef>
              <c:f>Stabilizing!$G$88</c:f>
              <c:strCache>
                <c:ptCount val="1"/>
                <c:pt idx="0">
                  <c:v>K-Sorbate (g/gallons (US))</c:v>
                </c:pt>
              </c:strCache>
            </c:strRef>
          </c:tx>
          <c:overlay val="0"/>
          <c:spPr>
            <a:noFill/>
            <a:ln>
              <a:noFill/>
            </a:ln>
            <a:effectLst/>
          </c:spPr>
          <c:txPr>
            <a:bodyPr rot="-5400000" spcFirstLastPara="1" vertOverflow="ellipsis" vert="horz" wrap="square" anchor="ctr" anchorCtr="1"/>
            <a:lstStyle/>
            <a:p>
              <a:pPr>
                <a:defRPr sz="1000" b="1" i="0" u="none" strike="noStrike" kern="1200" baseline="0">
                  <a:solidFill>
                    <a:schemeClr val="lt1"/>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827978368"/>
        <c:crosses val="autoZero"/>
        <c:crossBetween val="midCat"/>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t"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a:t>Sweetness</a:t>
            </a:r>
          </a:p>
        </c:rich>
      </c:tx>
      <c:layout>
        <c:manualLayout>
          <c:xMode val="edge"/>
          <c:yMode val="edge"/>
          <c:x val="0.40324396433916831"/>
          <c:y val="2.3880460522515932E-2"/>
        </c:manualLayout>
      </c:layout>
      <c:overlay val="0"/>
      <c:spPr>
        <a:noFill/>
        <a:ln>
          <a:noFill/>
        </a:ln>
        <a:effectLst/>
      </c:spPr>
      <c:txPr>
        <a:bodyPr rot="0" spcFirstLastPara="1" vertOverflow="ellipsis" vert="horz" wrap="square" anchor="t"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7532600915004201"/>
          <c:y val="0.13179606435205962"/>
          <c:w val="0.70291120724533929"/>
          <c:h val="0.7979133178300899"/>
        </c:manualLayout>
      </c:layout>
      <c:barChart>
        <c:barDir val="col"/>
        <c:grouping val="stacked"/>
        <c:varyColors val="0"/>
        <c:ser>
          <c:idx val="0"/>
          <c:order val="2"/>
          <c:tx>
            <c:strRef>
              <c:f>Backsweetening!$D$79</c:f>
              <c:strCache>
                <c:ptCount val="1"/>
                <c:pt idx="0">
                  <c:v>Dry</c:v>
                </c:pt>
              </c:strCache>
            </c:strRef>
          </c:tx>
          <c:spPr>
            <a:gradFill flip="none" rotWithShape="1">
              <a:gsLst>
                <a:gs pos="0">
                  <a:srgbClr val="FFCC00">
                    <a:alpha val="5000"/>
                  </a:srgbClr>
                </a:gs>
                <a:gs pos="100000">
                  <a:srgbClr val="FFCC00">
                    <a:alpha val="20000"/>
                  </a:srgbClr>
                </a:gs>
              </a:gsLst>
              <a:lin ang="16200000" scaled="1"/>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Backsweetening!$E$78</c:f>
              <c:strCache>
                <c:ptCount val="1"/>
                <c:pt idx="0">
                  <c:v>SG</c:v>
                </c:pt>
              </c:strCache>
            </c:strRef>
          </c:cat>
          <c:val>
            <c:numRef>
              <c:f>Backsweetening!$E$79</c:f>
              <c:numCache>
                <c:formatCode>0.000</c:formatCode>
                <c:ptCount val="1"/>
                <c:pt idx="0">
                  <c:v>1</c:v>
                </c:pt>
              </c:numCache>
            </c:numRef>
          </c:val>
          <c:extLst>
            <c:ext xmlns:c16="http://schemas.microsoft.com/office/drawing/2014/chart" uri="{C3380CC4-5D6E-409C-BE32-E72D297353CC}">
              <c16:uniqueId val="{00000000-5E2C-4613-8477-00555BC5F67F}"/>
            </c:ext>
          </c:extLst>
        </c:ser>
        <c:ser>
          <c:idx val="1"/>
          <c:order val="3"/>
          <c:tx>
            <c:strRef>
              <c:f>Backsweetening!$D$80</c:f>
              <c:strCache>
                <c:ptCount val="1"/>
                <c:pt idx="0">
                  <c:v>Off-Dry</c:v>
                </c:pt>
              </c:strCache>
            </c:strRef>
          </c:tx>
          <c:spPr>
            <a:gradFill rotWithShape="1">
              <a:gsLst>
                <a:gs pos="0">
                  <a:srgbClr val="FFCC00">
                    <a:alpha val="20000"/>
                  </a:srgbClr>
                </a:gs>
                <a:gs pos="100000">
                  <a:srgbClr val="FFCC00">
                    <a:alpha val="40000"/>
                  </a:srgbClr>
                </a:gs>
              </a:gsLst>
              <a:lin ang="16200000" scaled="1"/>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Backsweetening!$E$78</c:f>
              <c:strCache>
                <c:ptCount val="1"/>
                <c:pt idx="0">
                  <c:v>SG</c:v>
                </c:pt>
              </c:strCache>
            </c:strRef>
          </c:cat>
          <c:val>
            <c:numRef>
              <c:f>Backsweetening!$E$80</c:f>
              <c:numCache>
                <c:formatCode>0.000</c:formatCode>
                <c:ptCount val="1"/>
                <c:pt idx="0">
                  <c:v>0.01</c:v>
                </c:pt>
              </c:numCache>
            </c:numRef>
          </c:val>
          <c:extLst>
            <c:ext xmlns:c16="http://schemas.microsoft.com/office/drawing/2014/chart" uri="{C3380CC4-5D6E-409C-BE32-E72D297353CC}">
              <c16:uniqueId val="{00000001-5E2C-4613-8477-00555BC5F67F}"/>
            </c:ext>
          </c:extLst>
        </c:ser>
        <c:ser>
          <c:idx val="2"/>
          <c:order val="4"/>
          <c:tx>
            <c:strRef>
              <c:f>Backsweetening!$D$81</c:f>
              <c:strCache>
                <c:ptCount val="1"/>
                <c:pt idx="0">
                  <c:v>Semi-Sweet</c:v>
                </c:pt>
              </c:strCache>
            </c:strRef>
          </c:tx>
          <c:spPr>
            <a:gradFill rotWithShape="1">
              <a:gsLst>
                <a:gs pos="0">
                  <a:srgbClr val="FFCC00">
                    <a:alpha val="40000"/>
                  </a:srgbClr>
                </a:gs>
                <a:gs pos="100000">
                  <a:srgbClr val="FFCC00">
                    <a:alpha val="60000"/>
                  </a:srgbClr>
                </a:gs>
              </a:gsLst>
              <a:lin ang="16200000" scaled="1"/>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Backsweetening!$E$78</c:f>
              <c:strCache>
                <c:ptCount val="1"/>
                <c:pt idx="0">
                  <c:v>SG</c:v>
                </c:pt>
              </c:strCache>
            </c:strRef>
          </c:cat>
          <c:val>
            <c:numRef>
              <c:f>Backsweetening!$E$81</c:f>
              <c:numCache>
                <c:formatCode>0.000</c:formatCode>
                <c:ptCount val="1"/>
                <c:pt idx="0">
                  <c:v>1.4999999999999999E-2</c:v>
                </c:pt>
              </c:numCache>
            </c:numRef>
          </c:val>
          <c:extLst>
            <c:ext xmlns:c16="http://schemas.microsoft.com/office/drawing/2014/chart" uri="{C3380CC4-5D6E-409C-BE32-E72D297353CC}">
              <c16:uniqueId val="{00000002-5E2C-4613-8477-00555BC5F67F}"/>
            </c:ext>
          </c:extLst>
        </c:ser>
        <c:ser>
          <c:idx val="3"/>
          <c:order val="5"/>
          <c:tx>
            <c:strRef>
              <c:f>Backsweetening!$D$82</c:f>
              <c:strCache>
                <c:ptCount val="1"/>
                <c:pt idx="0">
                  <c:v>Sweet</c:v>
                </c:pt>
              </c:strCache>
            </c:strRef>
          </c:tx>
          <c:spPr>
            <a:gradFill rotWithShape="1">
              <a:gsLst>
                <a:gs pos="0">
                  <a:srgbClr val="FFCC00">
                    <a:alpha val="60000"/>
                  </a:srgbClr>
                </a:gs>
                <a:gs pos="100000">
                  <a:srgbClr val="FFCC00">
                    <a:alpha val="80000"/>
                  </a:srgbClr>
                </a:gs>
              </a:gsLst>
              <a:lin ang="16200000" scaled="1"/>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Backsweetening!$E$78</c:f>
              <c:strCache>
                <c:ptCount val="1"/>
                <c:pt idx="0">
                  <c:v>SG</c:v>
                </c:pt>
              </c:strCache>
            </c:strRef>
          </c:cat>
          <c:val>
            <c:numRef>
              <c:f>Backsweetening!$E$82</c:f>
              <c:numCache>
                <c:formatCode>0.000</c:formatCode>
                <c:ptCount val="1"/>
                <c:pt idx="0">
                  <c:v>1.2500000000000001E-2</c:v>
                </c:pt>
              </c:numCache>
            </c:numRef>
          </c:val>
          <c:extLst>
            <c:ext xmlns:c16="http://schemas.microsoft.com/office/drawing/2014/chart" uri="{C3380CC4-5D6E-409C-BE32-E72D297353CC}">
              <c16:uniqueId val="{00000003-5E2C-4613-8477-00555BC5F67F}"/>
            </c:ext>
          </c:extLst>
        </c:ser>
        <c:ser>
          <c:idx val="4"/>
          <c:order val="6"/>
          <c:tx>
            <c:strRef>
              <c:f>Backsweetening!$D$83</c:f>
              <c:strCache>
                <c:ptCount val="1"/>
                <c:pt idx="0">
                  <c:v>Dessert</c:v>
                </c:pt>
              </c:strCache>
            </c:strRef>
          </c:tx>
          <c:spPr>
            <a:gradFill rotWithShape="1">
              <a:gsLst>
                <a:gs pos="0">
                  <a:srgbClr val="FFCC00">
                    <a:alpha val="80000"/>
                  </a:srgbClr>
                </a:gs>
                <a:gs pos="100000">
                  <a:srgbClr val="FFCC00"/>
                </a:gs>
              </a:gsLst>
              <a:lin ang="16200000" scaled="1"/>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Backsweetening!$E$78</c:f>
              <c:strCache>
                <c:ptCount val="1"/>
                <c:pt idx="0">
                  <c:v>SG</c:v>
                </c:pt>
              </c:strCache>
            </c:strRef>
          </c:cat>
          <c:val>
            <c:numRef>
              <c:f>Backsweetening!$E$83</c:f>
              <c:numCache>
                <c:formatCode>0.000</c:formatCode>
                <c:ptCount val="1"/>
                <c:pt idx="0">
                  <c:v>1.2500000000000001E-2</c:v>
                </c:pt>
              </c:numCache>
            </c:numRef>
          </c:val>
          <c:extLst>
            <c:ext xmlns:c16="http://schemas.microsoft.com/office/drawing/2014/chart" uri="{C3380CC4-5D6E-409C-BE32-E72D297353CC}">
              <c16:uniqueId val="{00000004-5E2C-4613-8477-00555BC5F67F}"/>
            </c:ext>
          </c:extLst>
        </c:ser>
        <c:dLbls>
          <c:showLegendKey val="0"/>
          <c:showVal val="0"/>
          <c:showCatName val="0"/>
          <c:showSerName val="0"/>
          <c:showPercent val="0"/>
          <c:showBubbleSize val="0"/>
        </c:dLbls>
        <c:gapWidth val="247"/>
        <c:overlap val="100"/>
        <c:axId val="179827544"/>
        <c:axId val="179827936"/>
      </c:barChart>
      <c:scatterChart>
        <c:scatterStyle val="lineMarker"/>
        <c:varyColors val="0"/>
        <c:ser>
          <c:idx val="5"/>
          <c:order val="0"/>
          <c:tx>
            <c:strRef>
              <c:f>Backsweetening!$D$88</c:f>
              <c:strCache>
                <c:ptCount val="1"/>
                <c:pt idx="0">
                  <c:v>Current Sweetness</c:v>
                </c:pt>
              </c:strCache>
            </c:strRef>
          </c:tx>
          <c:spPr>
            <a:ln w="63500" cap="rnd" cmpd="dbl">
              <a:solidFill>
                <a:srgbClr val="FFCC00"/>
              </a:solidFill>
              <a:round/>
              <a:headEnd type="oval"/>
              <a:tailEnd type="oval"/>
            </a:ln>
            <a:effectLst>
              <a:outerShdw blurRad="40000" dist="23000" dir="5400000" rotWithShape="0">
                <a:srgbClr val="000000">
                  <a:alpha val="35000"/>
                </a:srgbClr>
              </a:outerShdw>
            </a:effectLst>
          </c:spPr>
          <c:marker>
            <c:symbol val="none"/>
          </c:marker>
          <c:dLbls>
            <c:dLbl>
              <c:idx val="0"/>
              <c:tx>
                <c:rich>
                  <a:bodyPr/>
                  <a:lstStyle/>
                  <a:p>
                    <a:fld id="{D98A3BA8-187E-4CCE-8507-886BE66019F3}" type="SERIESNAME">
                      <a:rPr lang="en-US" sz="900"/>
                      <a:pPr/>
                      <a:t>[SERIES NAME]</a:t>
                    </a:fld>
                    <a:endParaRPr lang="en-US" sz="900"/>
                  </a:p>
                  <a:p>
                    <a:fld id="{0927A55D-8B02-4768-9682-316E55A84AA2}" type="YVALUE">
                      <a:rPr lang="en-US" sz="900"/>
                      <a:pPr/>
                      <a:t>[Y VALUE]</a:t>
                    </a:fld>
                    <a:endParaRPr lang="en-US" sz="900"/>
                  </a:p>
                  <a:p>
                    <a:fld id="{17BCDDB0-37A0-42BB-A168-831554DE86D8}" type="CELLREF">
                      <a:rPr lang="en-US" sz="900"/>
                      <a:pPr/>
                      <a:t>[CELLREF]</a:t>
                    </a:fld>
                    <a:endParaRPr lang="en-US"/>
                  </a:p>
                </c:rich>
              </c:tx>
              <c:dLblPos val="l"/>
              <c:showLegendKey val="0"/>
              <c:showVal val="1"/>
              <c:showCatName val="1"/>
              <c:showSerName val="0"/>
              <c:showPercent val="0"/>
              <c:showBubbleSize val="0"/>
              <c:separator>
</c:separator>
              <c:extLst>
                <c:ext xmlns:c15="http://schemas.microsoft.com/office/drawing/2012/chart" uri="{CE6537A1-D6FC-4f65-9D91-7224C49458BB}">
                  <c15:dlblFieldTable>
                    <c15:dlblFTEntry>
                      <c15:txfldGUID>{17BCDDB0-37A0-42BB-A168-831554DE86D8}</c15:txfldGUID>
                      <c15:f>Backsweetening!$G$88</c15:f>
                      <c15:dlblFieldTableCache>
                        <c:ptCount val="1"/>
                        <c:pt idx="0">
                          <c:v>0.998 SG</c:v>
                        </c:pt>
                      </c15:dlblFieldTableCache>
                    </c15:dlblFTEntry>
                  </c15:dlblFieldTable>
                  <c15:showDataLabelsRange val="0"/>
                </c:ext>
                <c:ext xmlns:c16="http://schemas.microsoft.com/office/drawing/2014/chart" uri="{C3380CC4-5D6E-409C-BE32-E72D297353CC}">
                  <c16:uniqueId val="{00000005-5E2C-4613-8477-00555BC5F67F}"/>
                </c:ext>
              </c:extLst>
            </c:dLbl>
            <c:spPr>
              <a:solidFill>
                <a:schemeClr val="lt1"/>
              </a:solid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l"/>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ightArrowCallout">
                    <a:avLst/>
                  </a:prstGeom>
                  <a:noFill/>
                  <a:ln>
                    <a:noFill/>
                  </a:ln>
                </c15:spPr>
                <c15:showLeaderLines val="0"/>
              </c:ext>
            </c:extLst>
          </c:dLbls>
          <c:xVal>
            <c:strRef>
              <c:f>Backsweetening!$E$87:$F$87</c:f>
              <c:strCache>
                <c:ptCount val="2"/>
                <c:pt idx="0">
                  <c:v>point 1</c:v>
                </c:pt>
                <c:pt idx="1">
                  <c:v>point 2</c:v>
                </c:pt>
              </c:strCache>
            </c:strRef>
          </c:xVal>
          <c:yVal>
            <c:numRef>
              <c:f>Backsweetening!$E$88:$F$88</c:f>
              <c:numCache>
                <c:formatCode>0.0"% Brix"</c:formatCode>
                <c:ptCount val="2"/>
                <c:pt idx="0">
                  <c:v>-0.5233056668809013</c:v>
                </c:pt>
                <c:pt idx="1">
                  <c:v>-0.5233056668809013</c:v>
                </c:pt>
              </c:numCache>
            </c:numRef>
          </c:yVal>
          <c:smooth val="0"/>
          <c:extLst>
            <c:ext xmlns:c16="http://schemas.microsoft.com/office/drawing/2014/chart" uri="{C3380CC4-5D6E-409C-BE32-E72D297353CC}">
              <c16:uniqueId val="{00000006-5E2C-4613-8477-00555BC5F67F}"/>
            </c:ext>
          </c:extLst>
        </c:ser>
        <c:ser>
          <c:idx val="6"/>
          <c:order val="1"/>
          <c:tx>
            <c:strRef>
              <c:f>Backsweetening!$D$89</c:f>
              <c:strCache>
                <c:ptCount val="1"/>
                <c:pt idx="0">
                  <c:v>New Sweetness</c:v>
                </c:pt>
              </c:strCache>
            </c:strRef>
          </c:tx>
          <c:spPr>
            <a:ln w="34925" cap="rnd">
              <a:solidFill>
                <a:srgbClr val="FFCC00"/>
              </a:solidFill>
              <a:round/>
              <a:headEnd type="oval"/>
              <a:tailEnd type="oval"/>
            </a:ln>
            <a:effectLst>
              <a:outerShdw blurRad="40000" dist="23000" dir="5400000" rotWithShape="0">
                <a:srgbClr val="000000">
                  <a:alpha val="35000"/>
                </a:srgbClr>
              </a:outerShdw>
            </a:effectLst>
          </c:spPr>
          <c:marker>
            <c:symbol val="none"/>
          </c:marker>
          <c:dPt>
            <c:idx val="1"/>
            <c:marker>
              <c:symbol val="none"/>
            </c:marker>
            <c:bubble3D val="0"/>
            <c:spPr>
              <a:ln w="63500" cap="rnd" cmpd="dbl">
                <a:solidFill>
                  <a:srgbClr val="FFCC00"/>
                </a:solidFill>
                <a:prstDash val="solid"/>
                <a:round/>
                <a:headEnd type="oval"/>
                <a:tailEnd type="oval"/>
              </a:ln>
              <a:effectLst>
                <a:outerShdw blurRad="40000" dist="23000" dir="5400000" rotWithShape="0">
                  <a:srgbClr val="000000">
                    <a:alpha val="35000"/>
                  </a:srgbClr>
                </a:outerShdw>
              </a:effectLst>
            </c:spPr>
            <c:extLst>
              <c:ext xmlns:c16="http://schemas.microsoft.com/office/drawing/2014/chart" uri="{C3380CC4-5D6E-409C-BE32-E72D297353CC}">
                <c16:uniqueId val="{00000008-5E2C-4613-8477-00555BC5F67F}"/>
              </c:ext>
            </c:extLst>
          </c:dPt>
          <c:dLbls>
            <c:dLbl>
              <c:idx val="1"/>
              <c:layout>
                <c:manualLayout>
                  <c:x val="2.8850498631785241E-3"/>
                  <c:y val="-1.0289872533915302E-16"/>
                </c:manualLayout>
              </c:layout>
              <c:tx>
                <c:rich>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fld id="{3DA36753-AAAF-49B2-8748-BEAD845F33AA}" type="SERIESNAME">
                      <a:rPr lang="en-US" sz="900"/>
                      <a:pPr>
                        <a:defRPr sz="900"/>
                      </a:pPr>
                      <a:t>[SERIES NAME]</a:t>
                    </a:fld>
                    <a:endParaRPr lang="en-US" sz="900"/>
                  </a:p>
                  <a:p>
                    <a:pPr>
                      <a:defRPr sz="900"/>
                    </a:pPr>
                    <a:fld id="{63AFEC29-5D01-4A42-8D2C-7B38621A565A}" type="YVALUE">
                      <a:rPr lang="en-US" sz="900"/>
                      <a:pPr>
                        <a:defRPr sz="900"/>
                      </a:pPr>
                      <a:t>[Y VALUE]</a:t>
                    </a:fld>
                    <a:endParaRPr lang="en-US" sz="900"/>
                  </a:p>
                  <a:p>
                    <a:pPr>
                      <a:defRPr sz="900"/>
                    </a:pPr>
                    <a:fld id="{9E6C0366-52DE-4A8A-BABB-E325452D9EAB}" type="CELLREF">
                      <a:rPr lang="en-US" sz="900"/>
                      <a:pPr>
                        <a:defRPr sz="900"/>
                      </a:pPr>
                      <a:t>[CELLREF]</a:t>
                    </a:fld>
                    <a:endParaRPr lang="en-US"/>
                  </a:p>
                </c:rich>
              </c:tx>
              <c:spPr>
                <a:solidFill>
                  <a:schemeClr val="lt1"/>
                </a:solid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leftArrowCallout">
                      <a:avLst/>
                    </a:prstGeom>
                    <a:noFill/>
                    <a:ln>
                      <a:noFill/>
                    </a:ln>
                  </c15:spPr>
                  <c15:dlblFieldTable>
                    <c15:dlblFTEntry>
                      <c15:txfldGUID>{9E6C0366-52DE-4A8A-BABB-E325452D9EAB}</c15:txfldGUID>
                      <c15:f>Backsweetening!$G$89</c15:f>
                      <c15:dlblFieldTableCache>
                        <c:ptCount val="1"/>
                        <c:pt idx="0">
                          <c:v>1.015 SG</c:v>
                        </c:pt>
                      </c15:dlblFieldTableCache>
                    </c15:dlblFTEntry>
                  </c15:dlblFieldTable>
                  <c15:showDataLabelsRange val="0"/>
                </c:ext>
                <c:ext xmlns:c16="http://schemas.microsoft.com/office/drawing/2014/chart" uri="{C3380CC4-5D6E-409C-BE32-E72D297353CC}">
                  <c16:uniqueId val="{00000008-5E2C-4613-8477-00555BC5F67F}"/>
                </c:ext>
              </c:extLst>
            </c:dLbl>
            <c:spPr>
              <a:solidFill>
                <a:schemeClr val="lt1"/>
              </a:solid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Backsweetening!$E$87:$F$87</c:f>
              <c:strCache>
                <c:ptCount val="2"/>
                <c:pt idx="0">
                  <c:v>point 1</c:v>
                </c:pt>
                <c:pt idx="1">
                  <c:v>point 2</c:v>
                </c:pt>
              </c:strCache>
            </c:strRef>
          </c:xVal>
          <c:yVal>
            <c:numRef>
              <c:f>Backsweetening!$E$89:$F$89</c:f>
              <c:numCache>
                <c:formatCode>0.0"% Brix"</c:formatCode>
                <c:ptCount val="2"/>
                <c:pt idx="0">
                  <c:v>3.8263803978373971</c:v>
                </c:pt>
                <c:pt idx="1">
                  <c:v>3.8263803978373971</c:v>
                </c:pt>
              </c:numCache>
            </c:numRef>
          </c:yVal>
          <c:smooth val="0"/>
          <c:extLst>
            <c:ext xmlns:c16="http://schemas.microsoft.com/office/drawing/2014/chart" uri="{C3380CC4-5D6E-409C-BE32-E72D297353CC}">
              <c16:uniqueId val="{00000009-5E2C-4613-8477-00555BC5F67F}"/>
            </c:ext>
          </c:extLst>
        </c:ser>
        <c:dLbls>
          <c:showLegendKey val="0"/>
          <c:showVal val="0"/>
          <c:showCatName val="0"/>
          <c:showSerName val="0"/>
          <c:showPercent val="0"/>
          <c:showBubbleSize val="0"/>
        </c:dLbls>
        <c:axId val="179828720"/>
        <c:axId val="179828328"/>
      </c:scatterChart>
      <c:catAx>
        <c:axId val="179827544"/>
        <c:scaling>
          <c:orientation val="minMax"/>
        </c:scaling>
        <c:delete val="1"/>
        <c:axPos val="b"/>
        <c:numFmt formatCode="General" sourceLinked="1"/>
        <c:majorTickMark val="none"/>
        <c:minorTickMark val="none"/>
        <c:tickLblPos val="nextTo"/>
        <c:crossAx val="179827936"/>
        <c:crosses val="autoZero"/>
        <c:auto val="1"/>
        <c:lblAlgn val="ctr"/>
        <c:lblOffset val="100"/>
        <c:noMultiLvlLbl val="0"/>
      </c:catAx>
      <c:valAx>
        <c:axId val="179827936"/>
        <c:scaling>
          <c:orientation val="minMax"/>
          <c:max val="1.05"/>
          <c:min val="0.99"/>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r>
                  <a:rPr lang="en-US"/>
                  <a:t>Specific Gravity</a:t>
                </a:r>
              </a:p>
            </c:rich>
          </c:tx>
          <c:layout>
            <c:manualLayout>
              <c:xMode val="edge"/>
              <c:yMode val="edge"/>
              <c:x val="8.8626767503864386E-3"/>
              <c:y val="0.33878612206059738"/>
            </c:manualLayout>
          </c:layout>
          <c:overlay val="0"/>
          <c:spPr>
            <a:noFill/>
            <a:ln>
              <a:noFill/>
            </a:ln>
            <a:effectLst/>
          </c:spPr>
          <c:txPr>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en-US"/>
          </a:p>
        </c:txPr>
        <c:crossAx val="179827544"/>
        <c:crosses val="autoZero"/>
        <c:crossBetween val="between"/>
      </c:valAx>
      <c:valAx>
        <c:axId val="179828328"/>
        <c:scaling>
          <c:orientation val="minMax"/>
          <c:max val="12.4"/>
          <c:min val="-2.6"/>
        </c:scaling>
        <c:delete val="0"/>
        <c:axPos val="r"/>
        <c:minorGridlines>
          <c:spPr>
            <a:ln>
              <a:solidFill>
                <a:schemeClr val="lt1">
                  <a:lumMod val="95000"/>
                  <a:alpha val="5000"/>
                </a:schemeClr>
              </a:solidFill>
            </a:ln>
            <a:effectLst/>
          </c:spPr>
        </c:minorGridlines>
        <c:title>
          <c:tx>
            <c:rich>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r>
                  <a:rPr lang="en-US"/>
                  <a:t>% Brix</a:t>
                </a:r>
              </a:p>
            </c:rich>
          </c:tx>
          <c:overlay val="0"/>
          <c:spPr>
            <a:noFill/>
            <a:ln>
              <a:noFill/>
            </a:ln>
            <a:effectLst/>
          </c:spPr>
          <c:txPr>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en-US"/>
          </a:p>
        </c:txPr>
        <c:crossAx val="179828720"/>
        <c:crosses val="max"/>
        <c:crossBetween val="midCat"/>
        <c:majorUnit val="2.5"/>
      </c:valAx>
      <c:valAx>
        <c:axId val="179828720"/>
        <c:scaling>
          <c:orientation val="minMax"/>
          <c:max val="3"/>
        </c:scaling>
        <c:delete val="0"/>
        <c:axPos val="t"/>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noFill/>
                <a:latin typeface="+mn-lt"/>
                <a:ea typeface="+mn-ea"/>
                <a:cs typeface="+mn-cs"/>
              </a:defRPr>
            </a:pPr>
            <a:endParaRPr lang="en-US"/>
          </a:p>
        </c:txPr>
        <c:crossAx val="179828328"/>
        <c:crosses val="max"/>
        <c:crossBetween val="midCat"/>
      </c:valAx>
      <c:spPr>
        <a:noFill/>
        <a:ln>
          <a:noFill/>
        </a:ln>
        <a:effectLst/>
      </c:spPr>
    </c:plotArea>
    <c:plotVisOnly val="1"/>
    <c:dispBlanksAs val="gap"/>
    <c:showDLblsOverMax val="0"/>
  </c:chart>
  <c:spPr>
    <a:solidFill>
      <a:schemeClr val="accent1"/>
    </a:solidFill>
    <a:ln>
      <a:noFill/>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chart" Target="../charts/chart3.xml"/><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1</xdr:col>
      <xdr:colOff>200023</xdr:colOff>
      <xdr:row>11</xdr:row>
      <xdr:rowOff>57149</xdr:rowOff>
    </xdr:from>
    <xdr:to>
      <xdr:col>8</xdr:col>
      <xdr:colOff>1000124</xdr:colOff>
      <xdr:row>23</xdr:row>
      <xdr:rowOff>190498</xdr:rowOff>
    </xdr:to>
    <xdr:graphicFrame macro="">
      <xdr:nvGraphicFramePr>
        <xdr:cNvPr id="2" name="Chart 1">
          <a:extLst>
            <a:ext uri="{FF2B5EF4-FFF2-40B4-BE49-F238E27FC236}">
              <a16:creationId xmlns:a16="http://schemas.microsoft.com/office/drawing/2014/main" id="{7A88A83D-58AE-4154-98D3-DEC4A308C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xdr:colOff>
      <xdr:row>11</xdr:row>
      <xdr:rowOff>66675</xdr:rowOff>
    </xdr:from>
    <xdr:to>
      <xdr:col>15</xdr:col>
      <xdr:colOff>104775</xdr:colOff>
      <xdr:row>24</xdr:row>
      <xdr:rowOff>1</xdr:rowOff>
    </xdr:to>
    <xdr:graphicFrame macro="">
      <xdr:nvGraphicFramePr>
        <xdr:cNvPr id="3" name="Chart 2">
          <a:extLst>
            <a:ext uri="{FF2B5EF4-FFF2-40B4-BE49-F238E27FC236}">
              <a16:creationId xmlns:a16="http://schemas.microsoft.com/office/drawing/2014/main" id="{D8718795-ADA9-4807-92BE-941625E5E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2</xdr:row>
      <xdr:rowOff>1</xdr:rowOff>
    </xdr:from>
    <xdr:to>
      <xdr:col>19</xdr:col>
      <xdr:colOff>504825</xdr:colOff>
      <xdr:row>25</xdr:row>
      <xdr:rowOff>1</xdr:rowOff>
    </xdr:to>
    <xdr:sp macro="" textlink="">
      <xdr:nvSpPr>
        <xdr:cNvPr id="4" name="TextBox 3">
          <a:extLst>
            <a:ext uri="{FF2B5EF4-FFF2-40B4-BE49-F238E27FC236}">
              <a16:creationId xmlns:a16="http://schemas.microsoft.com/office/drawing/2014/main" id="{1E0BB5C3-B5D9-4C93-98AD-D9EBFC60CF66}"/>
            </a:ext>
          </a:extLst>
        </xdr:cNvPr>
        <xdr:cNvSpPr txBox="1"/>
      </xdr:nvSpPr>
      <xdr:spPr>
        <a:xfrm>
          <a:off x="7677150" y="762001"/>
          <a:ext cx="2333625" cy="43815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Notes:</a:t>
          </a:r>
        </a:p>
        <a:p>
          <a:endParaRPr lang="en-US" sz="1000"/>
        </a:p>
        <a:p>
          <a:pPr marL="171450" indent="-171450">
            <a:buFont typeface="Arial" panose="020B0604020202020204" pitchFamily="34" charset="0"/>
            <a:buChar char="•"/>
          </a:pPr>
          <a:r>
            <a:rPr lang="en-US" sz="1000"/>
            <a:t>See "Questions about Sulfites in Mead"</a:t>
          </a:r>
          <a:r>
            <a:rPr lang="en-US" sz="1000" baseline="0"/>
            <a:t> by Tom Repas for additional information and guidance when stabilizing mead.</a:t>
          </a:r>
          <a:endParaRPr lang="en-US" sz="1000"/>
        </a:p>
        <a:p>
          <a:endParaRPr lang="en-US" sz="1000"/>
        </a:p>
        <a:p>
          <a:r>
            <a:rPr lang="en-US" sz="1000"/>
            <a:t>Potassium Metabisulfite: (K-meta):</a:t>
          </a:r>
        </a:p>
        <a:p>
          <a:pPr marL="171450" indent="-171450">
            <a:buFont typeface="Arial" panose="020B0604020202020204" pitchFamily="34" charset="0"/>
            <a:buChar char="•"/>
          </a:pPr>
          <a:r>
            <a:rPr lang="en-US" sz="1000"/>
            <a:t>For</a:t>
          </a:r>
          <a:r>
            <a:rPr lang="en-US" sz="1000" baseline="0"/>
            <a:t> sweet meads </a:t>
          </a:r>
          <a:r>
            <a:rPr lang="en-US" sz="1000"/>
            <a:t>select</a:t>
          </a:r>
          <a:r>
            <a:rPr lang="en-US" sz="1000" baseline="0"/>
            <a:t> 0.8 ppm or 1.5 ppm Molecular SO</a:t>
          </a:r>
          <a:r>
            <a:rPr lang="en-US" sz="1000" baseline="-25000"/>
            <a:t>2</a:t>
          </a:r>
          <a:r>
            <a:rPr lang="en-US" sz="1000" baseline="0"/>
            <a:t>.</a:t>
          </a:r>
        </a:p>
        <a:p>
          <a:pPr marL="171450" indent="-171450">
            <a:buFont typeface="Arial" panose="020B0604020202020204" pitchFamily="34" charset="0"/>
            <a:buChar char="•"/>
          </a:pPr>
          <a:r>
            <a:rPr lang="en-US" sz="1000" baseline="0"/>
            <a:t>If using sterile filtration</a:t>
          </a:r>
          <a:r>
            <a:rPr lang="en-US" sz="1000" baseline="0">
              <a:solidFill>
                <a:schemeClr val="dk1"/>
              </a:solidFill>
              <a:effectLst/>
              <a:latin typeface="+mn-lt"/>
              <a:ea typeface="+mn-ea"/>
              <a:cs typeface="+mn-cs"/>
            </a:rPr>
            <a:t> 1.5 ppm Molecular SO</a:t>
          </a:r>
          <a:r>
            <a:rPr lang="en-US" sz="1000" baseline="-25000">
              <a:solidFill>
                <a:schemeClr val="dk1"/>
              </a:solidFill>
              <a:effectLst/>
              <a:latin typeface="+mn-lt"/>
              <a:ea typeface="+mn-ea"/>
              <a:cs typeface="+mn-cs"/>
            </a:rPr>
            <a:t>2</a:t>
          </a:r>
          <a:r>
            <a:rPr lang="en-US" sz="1000" baseline="0">
              <a:solidFill>
                <a:schemeClr val="dk1"/>
              </a:solidFill>
              <a:effectLst/>
              <a:latin typeface="+mn-lt"/>
              <a:ea typeface="+mn-ea"/>
              <a:cs typeface="+mn-cs"/>
            </a:rPr>
            <a:t> can be utilized in lieu of K-Sorbate.</a:t>
          </a:r>
        </a:p>
        <a:p>
          <a:endParaRPr lang="en-US" sz="1000"/>
        </a:p>
        <a:p>
          <a:r>
            <a:rPr lang="en-US" sz="1000"/>
            <a:t>Potassium Sorbate (K-sorbate): </a:t>
          </a:r>
        </a:p>
        <a:p>
          <a:pPr marL="171450" indent="-171450">
            <a:buFont typeface="Arial" panose="020B0604020202020204" pitchFamily="34" charset="0"/>
            <a:buChar char="•"/>
          </a:pPr>
          <a:r>
            <a:rPr lang="en-US" sz="1000"/>
            <a:t>Do not use K-sorbate with an ML ferment.</a:t>
          </a:r>
        </a:p>
        <a:p>
          <a:pPr marL="171450" indent="-171450">
            <a:buFont typeface="Arial" panose="020B0604020202020204" pitchFamily="34" charset="0"/>
            <a:buChar char="•"/>
          </a:pPr>
          <a:r>
            <a:rPr lang="en-US" sz="1000"/>
            <a:t>K-sorbate</a:t>
          </a:r>
          <a:r>
            <a:rPr lang="en-US" sz="1000" baseline="0"/>
            <a:t> is not needed for meads that are left dry.</a:t>
          </a:r>
        </a:p>
        <a:p>
          <a:pPr marL="171450" indent="-171450">
            <a:buFont typeface="Arial" panose="020B0604020202020204" pitchFamily="34" charset="0"/>
            <a:buChar char="•"/>
          </a:pPr>
          <a:r>
            <a:rPr lang="en-US" sz="1000" baseline="0"/>
            <a:t>In the K-sorbate calculations, in green below, is an additional input to adjust the limit if desired.</a:t>
          </a:r>
          <a:endParaRPr lang="en-US" sz="1000"/>
        </a:p>
        <a:p>
          <a:pPr marL="171450" indent="-171450">
            <a:buFont typeface="Arial" panose="020B0604020202020204" pitchFamily="34" charset="0"/>
            <a:buChar char="•"/>
          </a:pPr>
          <a:endParaRPr lang="en-US"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0.81141</cdr:x>
      <cdr:y>0.00131</cdr:y>
    </cdr:from>
    <cdr:to>
      <cdr:x>1</cdr:x>
      <cdr:y>0.11549</cdr:y>
    </cdr:to>
    <cdr:sp macro="" textlink="">
      <cdr:nvSpPr>
        <cdr:cNvPr id="2" name="TextBox 3">
          <a:extLst xmlns:a="http://schemas.openxmlformats.org/drawingml/2006/main">
            <a:ext uri="{FF2B5EF4-FFF2-40B4-BE49-F238E27FC236}">
              <a16:creationId xmlns:a16="http://schemas.microsoft.com/office/drawing/2014/main" id="{E9BC6D1E-0ABF-4DB6-BCE5-FD21A0203591}"/>
            </a:ext>
          </a:extLst>
        </cdr:cNvPr>
        <cdr:cNvSpPr txBox="1"/>
      </cdr:nvSpPr>
      <cdr:spPr>
        <a:xfrm xmlns:a="http://schemas.openxmlformats.org/drawingml/2006/main">
          <a:off x="3114677" y="3169"/>
          <a:ext cx="723899" cy="2762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a:solidFill>
                <a:schemeClr val="bg1"/>
              </a:solidFill>
            </a:rPr>
            <a:t>Molecular SO</a:t>
          </a:r>
          <a:r>
            <a:rPr lang="en-US" sz="900" baseline="-25000">
              <a:solidFill>
                <a:schemeClr val="bg1"/>
              </a:solidFill>
            </a:rPr>
            <a:t>2</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0</xdr:colOff>
      <xdr:row>26</xdr:row>
      <xdr:rowOff>0</xdr:rowOff>
    </xdr:from>
    <xdr:to>
      <xdr:col>11</xdr:col>
      <xdr:colOff>9525</xdr:colOff>
      <xdr:row>26</xdr:row>
      <xdr:rowOff>9525</xdr:rowOff>
    </xdr:to>
    <xdr:pic>
      <xdr:nvPicPr>
        <xdr:cNvPr id="2" name="Picture 1" descr="https://d.adroll.com/cm/r/out">
          <a:extLst>
            <a:ext uri="{FF2B5EF4-FFF2-40B4-BE49-F238E27FC236}">
              <a16:creationId xmlns:a16="http://schemas.microsoft.com/office/drawing/2014/main" id="{1D37AA9B-5D9D-434F-9FD8-940AC0733C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26</xdr:row>
      <xdr:rowOff>0</xdr:rowOff>
    </xdr:from>
    <xdr:to>
      <xdr:col>11</xdr:col>
      <xdr:colOff>28575</xdr:colOff>
      <xdr:row>26</xdr:row>
      <xdr:rowOff>9525</xdr:rowOff>
    </xdr:to>
    <xdr:pic>
      <xdr:nvPicPr>
        <xdr:cNvPr id="3" name="Picture 2" descr="https://d.adroll.com/cm/f/out">
          <a:extLst>
            <a:ext uri="{FF2B5EF4-FFF2-40B4-BE49-F238E27FC236}">
              <a16:creationId xmlns:a16="http://schemas.microsoft.com/office/drawing/2014/main" id="{EB3979A6-8F26-48B1-A0DC-1EEA0D687E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99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26</xdr:row>
      <xdr:rowOff>0</xdr:rowOff>
    </xdr:from>
    <xdr:to>
      <xdr:col>11</xdr:col>
      <xdr:colOff>47625</xdr:colOff>
      <xdr:row>26</xdr:row>
      <xdr:rowOff>9525</xdr:rowOff>
    </xdr:to>
    <xdr:pic>
      <xdr:nvPicPr>
        <xdr:cNvPr id="4" name="Picture 3" descr="https://d.adroll.com/cm/b/out">
          <a:extLst>
            <a:ext uri="{FF2B5EF4-FFF2-40B4-BE49-F238E27FC236}">
              <a16:creationId xmlns:a16="http://schemas.microsoft.com/office/drawing/2014/main" id="{9364756C-A0BE-4029-8562-23E02ACBF9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389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26</xdr:row>
      <xdr:rowOff>0</xdr:rowOff>
    </xdr:from>
    <xdr:to>
      <xdr:col>11</xdr:col>
      <xdr:colOff>66675</xdr:colOff>
      <xdr:row>26</xdr:row>
      <xdr:rowOff>9525</xdr:rowOff>
    </xdr:to>
    <xdr:pic>
      <xdr:nvPicPr>
        <xdr:cNvPr id="5" name="Picture 4" descr="https://d.adroll.com/cm/w/out">
          <a:extLst>
            <a:ext uri="{FF2B5EF4-FFF2-40B4-BE49-F238E27FC236}">
              <a16:creationId xmlns:a16="http://schemas.microsoft.com/office/drawing/2014/main" id="{D3979253-460F-4574-8771-C4C7CB73FB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80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26</xdr:row>
      <xdr:rowOff>0</xdr:rowOff>
    </xdr:from>
    <xdr:to>
      <xdr:col>11</xdr:col>
      <xdr:colOff>85725</xdr:colOff>
      <xdr:row>26</xdr:row>
      <xdr:rowOff>9525</xdr:rowOff>
    </xdr:to>
    <xdr:pic>
      <xdr:nvPicPr>
        <xdr:cNvPr id="6" name="Picture 5" descr="https://d.adroll.com/cm/x/out">
          <a:extLst>
            <a:ext uri="{FF2B5EF4-FFF2-40B4-BE49-F238E27FC236}">
              <a16:creationId xmlns:a16="http://schemas.microsoft.com/office/drawing/2014/main" id="{B93D0BCF-702C-46D6-B086-4008AB4C48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70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26</xdr:row>
      <xdr:rowOff>0</xdr:rowOff>
    </xdr:from>
    <xdr:to>
      <xdr:col>11</xdr:col>
      <xdr:colOff>104775</xdr:colOff>
      <xdr:row>26</xdr:row>
      <xdr:rowOff>9525</xdr:rowOff>
    </xdr:to>
    <xdr:pic>
      <xdr:nvPicPr>
        <xdr:cNvPr id="7" name="Picture 6" descr="https://d.adroll.com/cm/l/out">
          <a:extLst>
            <a:ext uri="{FF2B5EF4-FFF2-40B4-BE49-F238E27FC236}">
              <a16:creationId xmlns:a16="http://schemas.microsoft.com/office/drawing/2014/main" id="{8AA885F8-5B96-427C-B615-1A3F7945F29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961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133350</xdr:colOff>
      <xdr:row>26</xdr:row>
      <xdr:rowOff>0</xdr:rowOff>
    </xdr:from>
    <xdr:to>
      <xdr:col>11</xdr:col>
      <xdr:colOff>142875</xdr:colOff>
      <xdr:row>26</xdr:row>
      <xdr:rowOff>9525</xdr:rowOff>
    </xdr:to>
    <xdr:pic>
      <xdr:nvPicPr>
        <xdr:cNvPr id="8" name="Picture 7" descr="https://d.adroll.com/cm/g/out?google_nid=adroll5">
          <a:extLst>
            <a:ext uri="{FF2B5EF4-FFF2-40B4-BE49-F238E27FC236}">
              <a16:creationId xmlns:a16="http://schemas.microsoft.com/office/drawing/2014/main" id="{80F15AEB-0BD6-40A5-8CF4-F36ABA06ED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42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209551</xdr:colOff>
      <xdr:row>2</xdr:row>
      <xdr:rowOff>123826</xdr:rowOff>
    </xdr:from>
    <xdr:to>
      <xdr:col>14</xdr:col>
      <xdr:colOff>381001</xdr:colOff>
      <xdr:row>20</xdr:row>
      <xdr:rowOff>19050</xdr:rowOff>
    </xdr:to>
    <xdr:graphicFrame macro="">
      <xdr:nvGraphicFramePr>
        <xdr:cNvPr id="9" name="Chart 8">
          <a:extLst>
            <a:ext uri="{FF2B5EF4-FFF2-40B4-BE49-F238E27FC236}">
              <a16:creationId xmlns:a16="http://schemas.microsoft.com/office/drawing/2014/main" id="{4B6F0453-8A00-4D8F-8A0C-6F0AA8075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ad%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chBuilder"/>
      <sheetName val="TOSNA2.0"/>
      <sheetName val="Process Checklist"/>
      <sheetName val="Stabilizing"/>
      <sheetName val="Backsweetening"/>
      <sheetName val="Finishing"/>
      <sheetName val="Convert, →ABV"/>
      <sheetName val="Convert, Brix ↔ SG"/>
      <sheetName val="Schramm's Sweetness"/>
      <sheetName val="Brix ↔ Densities"/>
      <sheetName val="ABVtable"/>
      <sheetName val="Conversion Chart"/>
    </sheetNames>
    <sheetDataSet>
      <sheetData sheetId="0"/>
      <sheetData sheetId="1"/>
      <sheetData sheetId="2"/>
      <sheetData sheetId="3">
        <row r="46">
          <cell r="F46">
            <v>3.8</v>
          </cell>
        </row>
        <row r="52">
          <cell r="E52">
            <v>49.361861047790498</v>
          </cell>
        </row>
        <row r="53">
          <cell r="E53">
            <v>78.978977676464794</v>
          </cell>
        </row>
        <row r="54">
          <cell r="E54">
            <v>148.08558314337199</v>
          </cell>
        </row>
        <row r="58">
          <cell r="E58" t="str">
            <v>0.5 ppm</v>
          </cell>
          <cell r="F58" t="str">
            <v>0.8 ppm</v>
          </cell>
          <cell r="G58" t="str">
            <v>1.5 ppm</v>
          </cell>
        </row>
        <row r="59">
          <cell r="D59">
            <v>2.9</v>
          </cell>
          <cell r="E59">
            <v>6.6513438540619099</v>
          </cell>
          <cell r="F59">
            <v>10.6421501664991</v>
          </cell>
          <cell r="G59">
            <v>19.954031562185701</v>
          </cell>
        </row>
        <row r="60">
          <cell r="D60">
            <v>3</v>
          </cell>
          <cell r="E60">
            <v>8.2440830945624093</v>
          </cell>
          <cell r="F60">
            <v>13.1905329512999</v>
          </cell>
          <cell r="G60">
            <v>24.732249283687199</v>
          </cell>
        </row>
        <row r="61">
          <cell r="D61">
            <v>3.1</v>
          </cell>
          <cell r="E61">
            <v>10.2492229987902</v>
          </cell>
          <cell r="F61">
            <v>16.398756798064401</v>
          </cell>
          <cell r="G61">
            <v>30.747668996370699</v>
          </cell>
        </row>
        <row r="62">
          <cell r="D62">
            <v>3.2</v>
          </cell>
          <cell r="E62">
            <v>12.7735445784252</v>
          </cell>
          <cell r="F62">
            <v>20.437671325480299</v>
          </cell>
          <cell r="G62">
            <v>38.3206337352755</v>
          </cell>
        </row>
        <row r="63">
          <cell r="D63">
            <v>3.3</v>
          </cell>
          <cell r="E63">
            <v>15.951477162568001</v>
          </cell>
          <cell r="F63">
            <v>25.5223634601087</v>
          </cell>
          <cell r="G63">
            <v>47.854431487703899</v>
          </cell>
        </row>
        <row r="64">
          <cell r="D64">
            <v>3.4</v>
          </cell>
          <cell r="E64">
            <v>19.952257249713998</v>
          </cell>
          <cell r="F64">
            <v>31.923611599542401</v>
          </cell>
          <cell r="G64">
            <v>59.856771749142098</v>
          </cell>
        </row>
        <row r="65">
          <cell r="D65">
            <v>3.5</v>
          </cell>
          <cell r="E65">
            <v>24.988940968422298</v>
          </cell>
          <cell r="F65">
            <v>39.982305549475697</v>
          </cell>
          <cell r="G65">
            <v>74.966822905266994</v>
          </cell>
        </row>
        <row r="66">
          <cell r="D66">
            <v>3.6</v>
          </cell>
          <cell r="E66">
            <v>31.3297500930741</v>
          </cell>
          <cell r="F66">
            <v>50.127600148918603</v>
          </cell>
          <cell r="G66">
            <v>93.989250279222404</v>
          </cell>
        </row>
        <row r="67">
          <cell r="D67">
            <v>3.7</v>
          </cell>
          <cell r="E67">
            <v>39.312355831434601</v>
          </cell>
          <cell r="F67">
            <v>62.899769330295399</v>
          </cell>
          <cell r="G67">
            <v>117.937067494304</v>
          </cell>
        </row>
        <row r="68">
          <cell r="D68">
            <v>3.8</v>
          </cell>
          <cell r="E68">
            <v>49.361861047790498</v>
          </cell>
          <cell r="F68">
            <v>78.978977676464794</v>
          </cell>
          <cell r="G68">
            <v>148.08558314337199</v>
          </cell>
        </row>
        <row r="69">
          <cell r="D69">
            <v>3.9</v>
          </cell>
          <cell r="E69">
            <v>62.013438540619099</v>
          </cell>
          <cell r="F69">
            <v>99.221501664990598</v>
          </cell>
          <cell r="G69">
            <v>186.04031562185699</v>
          </cell>
        </row>
        <row r="70">
          <cell r="D70">
            <v>4</v>
          </cell>
          <cell r="E70">
            <v>77.9408309456241</v>
          </cell>
          <cell r="F70">
            <v>124.705329512999</v>
          </cell>
          <cell r="G70">
            <v>233.82249283687199</v>
          </cell>
        </row>
        <row r="77">
          <cell r="E77">
            <v>0.14000000000000001</v>
          </cell>
        </row>
        <row r="78">
          <cell r="K78">
            <v>0</v>
          </cell>
          <cell r="L78">
            <v>0.75700000000000012</v>
          </cell>
        </row>
        <row r="79">
          <cell r="K79">
            <v>2E-3</v>
          </cell>
          <cell r="L79">
            <v>0.75700000000000012</v>
          </cell>
        </row>
        <row r="80">
          <cell r="K80">
            <v>4.0000000000000001E-3</v>
          </cell>
          <cell r="L80">
            <v>0.75700000000000012</v>
          </cell>
        </row>
        <row r="81">
          <cell r="K81">
            <v>6.0000000000000001E-3</v>
          </cell>
          <cell r="L81">
            <v>0.75700000000000012</v>
          </cell>
        </row>
        <row r="82">
          <cell r="K82">
            <v>8.0000000000000002E-3</v>
          </cell>
          <cell r="L82">
            <v>0.75700000000000012</v>
          </cell>
        </row>
        <row r="83">
          <cell r="K83">
            <v>0.01</v>
          </cell>
          <cell r="L83">
            <v>0.75700000000000012</v>
          </cell>
        </row>
        <row r="84">
          <cell r="K84">
            <v>1.2E-2</v>
          </cell>
          <cell r="L84">
            <v>0.75700000000000012</v>
          </cell>
        </row>
        <row r="85">
          <cell r="K85">
            <v>1.4E-2</v>
          </cell>
          <cell r="L85">
            <v>0.75700000000000012</v>
          </cell>
        </row>
        <row r="86">
          <cell r="K86">
            <v>1.6E-2</v>
          </cell>
          <cell r="L86">
            <v>0.75700000000000012</v>
          </cell>
        </row>
        <row r="87">
          <cell r="K87">
            <v>1.7999999999999999E-2</v>
          </cell>
          <cell r="L87">
            <v>0.75700000000000012</v>
          </cell>
        </row>
        <row r="88">
          <cell r="D88">
            <v>0.28126059061123965</v>
          </cell>
          <cell r="G88" t="str">
            <v>K-Sorbate (g/gallons (US))</v>
          </cell>
          <cell r="K88">
            <v>0.02</v>
          </cell>
          <cell r="L88">
            <v>0.75700000000000012</v>
          </cell>
        </row>
        <row r="89">
          <cell r="K89">
            <v>2.1999999999999999E-2</v>
          </cell>
          <cell r="L89">
            <v>0.75700000000000012</v>
          </cell>
        </row>
        <row r="90">
          <cell r="K90">
            <v>2.4E-2</v>
          </cell>
          <cell r="L90">
            <v>0.75700000000000012</v>
          </cell>
        </row>
        <row r="91">
          <cell r="K91">
            <v>2.5999999999999999E-2</v>
          </cell>
          <cell r="L91">
            <v>0.75700000000000012</v>
          </cell>
        </row>
        <row r="92">
          <cell r="K92">
            <v>2.8000000000000001E-2</v>
          </cell>
          <cell r="L92">
            <v>0.75700000000000012</v>
          </cell>
        </row>
        <row r="93">
          <cell r="K93">
            <v>0.03</v>
          </cell>
          <cell r="L93">
            <v>0.75700000000000012</v>
          </cell>
        </row>
        <row r="94">
          <cell r="K94">
            <v>3.2000000000000001E-2</v>
          </cell>
          <cell r="L94">
            <v>0.75700000000000012</v>
          </cell>
        </row>
        <row r="95">
          <cell r="K95">
            <v>3.4000000000000002E-2</v>
          </cell>
          <cell r="L95">
            <v>0.75700000000000012</v>
          </cell>
        </row>
        <row r="96">
          <cell r="K96">
            <v>3.5999999999999997E-2</v>
          </cell>
          <cell r="L96">
            <v>0.75700000000000012</v>
          </cell>
        </row>
        <row r="97">
          <cell r="K97">
            <v>3.7999999999999999E-2</v>
          </cell>
          <cell r="L97">
            <v>0.75700000000000012</v>
          </cell>
        </row>
        <row r="98">
          <cell r="K98">
            <v>0.04</v>
          </cell>
          <cell r="L98">
            <v>0.75700000000000012</v>
          </cell>
        </row>
        <row r="99">
          <cell r="K99">
            <v>4.2000000000000003E-2</v>
          </cell>
          <cell r="L99">
            <v>0.75700000000000012</v>
          </cell>
        </row>
        <row r="100">
          <cell r="K100">
            <v>4.3999999999999997E-2</v>
          </cell>
          <cell r="L100">
            <v>0.75700000000000012</v>
          </cell>
        </row>
        <row r="101">
          <cell r="K101">
            <v>4.5999999999999999E-2</v>
          </cell>
          <cell r="L101">
            <v>0.75700000000000012</v>
          </cell>
        </row>
        <row r="102">
          <cell r="K102">
            <v>4.8000000000000001E-2</v>
          </cell>
          <cell r="L102">
            <v>0.75700000000000012</v>
          </cell>
        </row>
        <row r="103">
          <cell r="K103">
            <v>0.05</v>
          </cell>
          <cell r="L103">
            <v>0.75700000000000012</v>
          </cell>
        </row>
        <row r="104">
          <cell r="K104">
            <v>5.1999999999999998E-2</v>
          </cell>
          <cell r="L104">
            <v>0.75700000000000012</v>
          </cell>
        </row>
        <row r="105">
          <cell r="K105">
            <v>5.3999999999999999E-2</v>
          </cell>
          <cell r="L105">
            <v>0.75700000000000012</v>
          </cell>
        </row>
        <row r="106">
          <cell r="K106">
            <v>5.6000000000000001E-2</v>
          </cell>
          <cell r="L106">
            <v>0.75700000000000012</v>
          </cell>
        </row>
        <row r="107">
          <cell r="K107">
            <v>5.8000000000000003E-2</v>
          </cell>
          <cell r="L107">
            <v>0.75700000000000012</v>
          </cell>
        </row>
        <row r="108">
          <cell r="K108">
            <v>0.06</v>
          </cell>
          <cell r="L108">
            <v>0.75700000000000012</v>
          </cell>
        </row>
        <row r="109">
          <cell r="K109">
            <v>6.2E-2</v>
          </cell>
          <cell r="L109">
            <v>0.75700000000000012</v>
          </cell>
        </row>
        <row r="110">
          <cell r="K110">
            <v>6.4000000000000001E-2</v>
          </cell>
          <cell r="L110">
            <v>0.75700000000000012</v>
          </cell>
        </row>
        <row r="111">
          <cell r="K111">
            <v>6.6000000000000003E-2</v>
          </cell>
          <cell r="L111">
            <v>0.75700000000000012</v>
          </cell>
        </row>
        <row r="112">
          <cell r="K112">
            <v>6.8000000000000005E-2</v>
          </cell>
          <cell r="L112">
            <v>0.75700000000000012</v>
          </cell>
        </row>
        <row r="113">
          <cell r="K113">
            <v>7.0000000000000007E-2</v>
          </cell>
          <cell r="L113">
            <v>0.75700000000000012</v>
          </cell>
        </row>
        <row r="114">
          <cell r="K114">
            <v>7.1999999999999995E-2</v>
          </cell>
          <cell r="L114">
            <v>0.75700000000000012</v>
          </cell>
        </row>
        <row r="115">
          <cell r="K115">
            <v>7.3999999999999996E-2</v>
          </cell>
          <cell r="L115">
            <v>0.75700000000000012</v>
          </cell>
        </row>
        <row r="116">
          <cell r="K116">
            <v>7.5999999999999998E-2</v>
          </cell>
          <cell r="L116">
            <v>0.75700000000000012</v>
          </cell>
        </row>
        <row r="117">
          <cell r="K117">
            <v>7.8E-2</v>
          </cell>
          <cell r="L117">
            <v>0.75700000000000012</v>
          </cell>
        </row>
        <row r="118">
          <cell r="K118">
            <v>0.08</v>
          </cell>
          <cell r="L118">
            <v>0.75700000000000012</v>
          </cell>
        </row>
        <row r="119">
          <cell r="K119">
            <v>8.2000000000000003E-2</v>
          </cell>
          <cell r="L119">
            <v>0.75700000000000012</v>
          </cell>
        </row>
        <row r="120">
          <cell r="K120">
            <v>8.4000000000000005E-2</v>
          </cell>
          <cell r="L120">
            <v>0.75700000000000012</v>
          </cell>
        </row>
        <row r="121">
          <cell r="K121">
            <v>8.5999999999999993E-2</v>
          </cell>
          <cell r="L121">
            <v>0.75700000000000012</v>
          </cell>
        </row>
        <row r="122">
          <cell r="K122">
            <v>8.7999999999999995E-2</v>
          </cell>
          <cell r="L122">
            <v>0.75700000000000012</v>
          </cell>
        </row>
        <row r="123">
          <cell r="K123">
            <v>0.09</v>
          </cell>
          <cell r="L123">
            <v>0.75700000000000012</v>
          </cell>
        </row>
        <row r="124">
          <cell r="K124">
            <v>9.1999999999999998E-2</v>
          </cell>
          <cell r="L124">
            <v>0.75700000000000012</v>
          </cell>
        </row>
        <row r="125">
          <cell r="K125">
            <v>9.4E-2</v>
          </cell>
          <cell r="L125">
            <v>0.75700000000000012</v>
          </cell>
        </row>
        <row r="126">
          <cell r="K126">
            <v>9.6000000000000002E-2</v>
          </cell>
          <cell r="L126">
            <v>0.75700000000000012</v>
          </cell>
        </row>
        <row r="127">
          <cell r="K127">
            <v>9.8000000000000004E-2</v>
          </cell>
          <cell r="L127">
            <v>0.75700000000000012</v>
          </cell>
        </row>
        <row r="128">
          <cell r="K128">
            <v>0.1</v>
          </cell>
          <cell r="L128">
            <v>0.75700000000000012</v>
          </cell>
        </row>
        <row r="129">
          <cell r="K129">
            <v>0.10199999999999999</v>
          </cell>
          <cell r="L129">
            <v>0.75700000000000012</v>
          </cell>
        </row>
        <row r="130">
          <cell r="K130">
            <v>0.104</v>
          </cell>
          <cell r="L130">
            <v>0.75700000000000012</v>
          </cell>
        </row>
        <row r="131">
          <cell r="K131">
            <v>0.106</v>
          </cell>
          <cell r="L131">
            <v>0.75700000000000012</v>
          </cell>
        </row>
        <row r="132">
          <cell r="K132">
            <v>0.108</v>
          </cell>
          <cell r="L132">
            <v>0.75576447655616885</v>
          </cell>
        </row>
        <row r="133">
          <cell r="K133">
            <v>0.11</v>
          </cell>
          <cell r="L133">
            <v>0.71966923143801043</v>
          </cell>
        </row>
        <row r="134">
          <cell r="K134">
            <v>0.112</v>
          </cell>
          <cell r="L134">
            <v>0.68443248661939948</v>
          </cell>
        </row>
        <row r="135">
          <cell r="K135">
            <v>0.114</v>
          </cell>
          <cell r="L135">
            <v>0.65005424210033469</v>
          </cell>
        </row>
        <row r="136">
          <cell r="K136">
            <v>0.11600000000000001</v>
          </cell>
          <cell r="L136">
            <v>0.61653449788081649</v>
          </cell>
        </row>
        <row r="137">
          <cell r="K137">
            <v>0.11799999999999999</v>
          </cell>
          <cell r="L137">
            <v>0.58387325396084533</v>
          </cell>
        </row>
        <row r="138">
          <cell r="K138">
            <v>0.12</v>
          </cell>
          <cell r="L138">
            <v>0.55207051034042043</v>
          </cell>
        </row>
        <row r="139">
          <cell r="K139">
            <v>0.122</v>
          </cell>
          <cell r="L139">
            <v>0.52112626701954234</v>
          </cell>
        </row>
        <row r="140">
          <cell r="K140">
            <v>0.124</v>
          </cell>
          <cell r="L140">
            <v>0.49104052399821102</v>
          </cell>
        </row>
        <row r="141">
          <cell r="K141">
            <v>0.126</v>
          </cell>
          <cell r="L141">
            <v>0.46181328127642562</v>
          </cell>
        </row>
        <row r="142">
          <cell r="K142">
            <v>0.128</v>
          </cell>
          <cell r="L142">
            <v>0.43344453885418754</v>
          </cell>
        </row>
        <row r="143">
          <cell r="K143">
            <v>0.13</v>
          </cell>
          <cell r="L143">
            <v>0.40593429673149667</v>
          </cell>
        </row>
        <row r="144">
          <cell r="K144">
            <v>0.13200000000000001</v>
          </cell>
          <cell r="L144">
            <v>0.37928255490835172</v>
          </cell>
        </row>
        <row r="145">
          <cell r="K145">
            <v>0.13400000000000001</v>
          </cell>
          <cell r="L145">
            <v>0.35348931338475403</v>
          </cell>
        </row>
        <row r="146">
          <cell r="K146">
            <v>0.13600000000000001</v>
          </cell>
          <cell r="L146">
            <v>0.32855457216070233</v>
          </cell>
        </row>
        <row r="147">
          <cell r="K147">
            <v>0.13800000000000001</v>
          </cell>
          <cell r="L147">
            <v>0.30447833123619733</v>
          </cell>
        </row>
        <row r="148">
          <cell r="K148">
            <v>0.14000000000000001</v>
          </cell>
          <cell r="L148">
            <v>0.28126059061123965</v>
          </cell>
        </row>
        <row r="149">
          <cell r="K149">
            <v>0.14199999999999999</v>
          </cell>
          <cell r="L149">
            <v>0.25890135028582878</v>
          </cell>
        </row>
        <row r="150">
          <cell r="K150">
            <v>0.14399999999999999</v>
          </cell>
          <cell r="L150">
            <v>0.23740061025996428</v>
          </cell>
        </row>
        <row r="151">
          <cell r="K151">
            <v>0.14599999999999999</v>
          </cell>
          <cell r="L151">
            <v>0.21675837053364658</v>
          </cell>
        </row>
        <row r="152">
          <cell r="K152">
            <v>0.14799999999999999</v>
          </cell>
          <cell r="L152">
            <v>0.19697463110687524</v>
          </cell>
        </row>
        <row r="153">
          <cell r="K153">
            <v>0.15</v>
          </cell>
          <cell r="L153">
            <v>0.17804939197965028</v>
          </cell>
        </row>
        <row r="154">
          <cell r="K154">
            <v>0.152</v>
          </cell>
          <cell r="L154">
            <v>0.15998265315197255</v>
          </cell>
        </row>
        <row r="155">
          <cell r="K155">
            <v>0.154</v>
          </cell>
          <cell r="L155">
            <v>0.14277441462384119</v>
          </cell>
        </row>
        <row r="156">
          <cell r="K156">
            <v>0.156</v>
          </cell>
          <cell r="L156">
            <v>0.12642467639525667</v>
          </cell>
        </row>
        <row r="157">
          <cell r="K157">
            <v>0.158</v>
          </cell>
          <cell r="L157">
            <v>0.11093343846621895</v>
          </cell>
        </row>
        <row r="158">
          <cell r="K158">
            <v>0.16</v>
          </cell>
          <cell r="L158">
            <v>9.6300700836728051E-2</v>
          </cell>
        </row>
        <row r="159">
          <cell r="K159">
            <v>0.16200000000000001</v>
          </cell>
          <cell r="L159">
            <v>8.2526463506782569E-2</v>
          </cell>
        </row>
        <row r="160">
          <cell r="K160">
            <v>0.16400000000000001</v>
          </cell>
          <cell r="L160">
            <v>6.9610726476385304E-2</v>
          </cell>
        </row>
        <row r="161">
          <cell r="K161">
            <v>0.16600000000000001</v>
          </cell>
          <cell r="L161">
            <v>5.7553489745534384E-2</v>
          </cell>
        </row>
        <row r="162">
          <cell r="K162">
            <v>0.16800000000000001</v>
          </cell>
          <cell r="L162">
            <v>4.6354753314229814E-2</v>
          </cell>
        </row>
        <row r="163">
          <cell r="K163">
            <v>0.17</v>
          </cell>
          <cell r="L163">
            <v>3.6014517182472526E-2</v>
          </cell>
        </row>
        <row r="164">
          <cell r="K164">
            <v>0.17199999999999999</v>
          </cell>
          <cell r="L164">
            <v>2.6532781350261592E-2</v>
          </cell>
        </row>
        <row r="165">
          <cell r="K165">
            <v>0.17399999999999999</v>
          </cell>
          <cell r="L165">
            <v>1.7909545817596552E-2</v>
          </cell>
        </row>
        <row r="166">
          <cell r="K166">
            <v>0.17599999999999999</v>
          </cell>
          <cell r="L166">
            <v>1.0144810584478789E-2</v>
          </cell>
        </row>
        <row r="167">
          <cell r="K167">
            <v>0.17799999999999999</v>
          </cell>
          <cell r="L167">
            <v>3.2385756509078403E-3</v>
          </cell>
        </row>
        <row r="168">
          <cell r="K168">
            <v>0.18</v>
          </cell>
          <cell r="L168">
            <v>-2.8091589831162915E-3</v>
          </cell>
        </row>
        <row r="169">
          <cell r="K169">
            <v>0.182</v>
          </cell>
          <cell r="L169">
            <v>-7.9983933175936071E-3</v>
          </cell>
        </row>
        <row r="170">
          <cell r="K170">
            <v>0.184</v>
          </cell>
          <cell r="L170">
            <v>-1.232912735252503E-2</v>
          </cell>
        </row>
        <row r="171">
          <cell r="K171">
            <v>0.186</v>
          </cell>
          <cell r="L171">
            <v>-1.5801361087909638E-2</v>
          </cell>
        </row>
        <row r="172">
          <cell r="K172">
            <v>0.188</v>
          </cell>
          <cell r="L172">
            <v>-1.8415094523747431E-2</v>
          </cell>
        </row>
        <row r="173">
          <cell r="K173">
            <v>0.19</v>
          </cell>
          <cell r="L173">
            <v>-2.0170327660038408E-2</v>
          </cell>
        </row>
        <row r="174">
          <cell r="K174">
            <v>0.192</v>
          </cell>
          <cell r="L174">
            <v>-2.1067060496782107E-2</v>
          </cell>
        </row>
        <row r="175">
          <cell r="K175">
            <v>0.19400000000000001</v>
          </cell>
          <cell r="L175">
            <v>-2.1105293033979452E-2</v>
          </cell>
        </row>
        <row r="176">
          <cell r="K176">
            <v>0.19600000000000001</v>
          </cell>
          <cell r="L176">
            <v>-2.02850252716309E-2</v>
          </cell>
        </row>
        <row r="177">
          <cell r="K177">
            <v>0.19800000000000001</v>
          </cell>
          <cell r="L177">
            <v>-1.8606257209735539E-2</v>
          </cell>
        </row>
        <row r="178">
          <cell r="K178">
            <v>0.2</v>
          </cell>
          <cell r="L178">
            <v>-1.6068988848291974E-2</v>
          </cell>
        </row>
        <row r="179">
          <cell r="K179">
            <v>0.20200000000000001</v>
          </cell>
          <cell r="L179">
            <v>-1.2673220187303439E-2</v>
          </cell>
        </row>
        <row r="180">
          <cell r="K180">
            <v>0.20399999999999999</v>
          </cell>
          <cell r="L180">
            <v>-8.4189512267680913E-3</v>
          </cell>
        </row>
        <row r="181">
          <cell r="K181">
            <v>0.20599999999999999</v>
          </cell>
          <cell r="L181">
            <v>-3.3061819666859262E-3</v>
          </cell>
        </row>
      </sheetData>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FDE11B-B8DF-4891-A493-9025FAEACEA8}" name="Table8109" displayName="Table8109" ref="K77:L181" totalsRowShown="0" headerRowDxfId="14" dataDxfId="13">
  <autoFilter ref="K77:L181" xr:uid="{00000000-0009-0000-0100-000002000000}"/>
  <tableColumns count="2">
    <tableColumn id="2" xr3:uid="{5BAC268B-E588-45E8-8815-398B7A3BBF98}" name="ABV (%)" dataDxfId="12" dataCellStyle="Percent"/>
    <tableColumn id="3" xr3:uid="{5AFE5DCF-1CEF-4DA8-BD9F-A12A33597E2C}" name="g/unit" dataDxfId="11">
      <calculatedColumnFormula xml:space="preserve"> IF((25.778*K78^2 - 9.9549*K78 + 0.956)/$D$85 &gt; $E$80,$E$80,(25.778*K78^2 - 9.9549*K78 + 0.956)/$D$85 )*IF($D$9="liters",1,3.785)</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FCAC57-2793-4DB0-ACF0-C3DE8B07E2F7}" name="Table19" displayName="Table19" ref="D87:G89" totalsRowShown="0" headerRowDxfId="25" dataDxfId="24">
  <autoFilter ref="D87:G89" xr:uid="{12B1836E-BE59-4A31-997A-360B0189EBF5}"/>
  <tableColumns count="4">
    <tableColumn id="1" xr3:uid="{36A5AC9A-5AB7-4FF6-9072-9B888235EB39}" name="Name" dataDxfId="23"/>
    <tableColumn id="2" xr3:uid="{E0CD6941-AF71-4190-974D-EE8D271ADE89}" name="point 1" dataDxfId="22"/>
    <tableColumn id="3" xr3:uid="{C2365B87-4CE1-4B4D-BB6F-D740577447B8}" name="point 2" dataDxfId="21">
      <calculatedColumnFormula>E88</calculatedColumnFormula>
    </tableColumn>
    <tableColumn id="4" xr3:uid="{D3004DA7-0EC8-4CE2-9E9F-B36CFDB43012}" name="SG" dataDxfId="20">
      <calculatedColumnFormula>F36</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85478D-65C6-4DDC-8132-D1B99F9E1DCD}" name="HypSweetness" displayName="HypSweetness" ref="D71:F73" totalsRowShown="0" headerRowDxfId="19" dataDxfId="18" headerRowCellStyle="Normal" dataCellStyle="Normal">
  <autoFilter ref="D71:F73" xr:uid="{5152CFBC-01F9-418E-A80C-DF02CDE7909C}">
    <filterColumn colId="0" hiddenButton="1"/>
    <filterColumn colId="1" hiddenButton="1"/>
    <filterColumn colId="2" hiddenButton="1"/>
  </autoFilter>
  <tableColumns count="3">
    <tableColumn id="1" xr3:uid="{22F80C23-C7B6-4332-8DF3-90ED61E0B7AF}" name="Units" dataDxfId="17" dataCellStyle="Normal"/>
    <tableColumn id="2" xr3:uid="{64824343-9B57-4E44-A8B8-C20B6CD80836}" name="Value" dataDxfId="16" dataCellStyle="Normal">
      <calculatedColumnFormula>F36/E63*F50</calculatedColumnFormula>
    </tableColumn>
    <tableColumn id="3" xr3:uid="{5B7BFE85-8008-4E90-8B3A-B73CAB31C6AF}" name="Sources" dataDxfId="15" dataCellStyle="Normal"/>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4CEABD-5B47-4C4C-98E7-BF204013209C}" name="Table1" displayName="Table1" ref="B2:D16" totalsRowShown="0">
  <autoFilter ref="B2:D16" xr:uid="{A133A73D-70B4-4E98-9277-54148E4A465B}">
    <filterColumn colId="0" hiddenButton="1"/>
    <filterColumn colId="1" hiddenButton="1"/>
    <filterColumn colId="2" hiddenButton="1"/>
  </autoFilter>
  <tableColumns count="3">
    <tableColumn id="1" xr3:uid="{AD5E3FF6-7A97-4109-83A1-EE8DCC17C1A4}" name="Revision"/>
    <tableColumn id="2" xr3:uid="{B60B9BE2-E97D-4668-99FD-4DBA9693530A}" name="Date"/>
    <tableColumn id="3" xr3:uid="{3F04F556-F50A-461F-A4B7-66E04E42A26B}"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2CA209-946F-488E-B026-2283CF579E55}" name="Table1015" displayName="Table1015" ref="D58:G70" totalsRowShown="0" headerRowDxfId="10" dataDxfId="9">
  <autoFilter ref="D58:G70" xr:uid="{00000000-0009-0000-0100-000004000000}">
    <filterColumn colId="0" hiddenButton="1"/>
    <filterColumn colId="1" hiddenButton="1"/>
    <filterColumn colId="2" hiddenButton="1"/>
  </autoFilter>
  <tableColumns count="4">
    <tableColumn id="1" xr3:uid="{AE09B035-2452-4F7C-9A90-C00484BDC04D}" name="pH" dataDxfId="8"/>
    <tableColumn id="2" xr3:uid="{A36FA780-F28B-47D3-BFBA-89B6F127692D}" name="0.5 ppm" dataDxfId="7">
      <calculatedColumnFormula>_xlfn.NUMBERVALUE(LEFT(E$58,3)*(10^($D59-1.81)+1))</calculatedColumnFormula>
    </tableColumn>
    <tableColumn id="3" xr3:uid="{5C33AF7D-70BA-49AC-B5FA-7E65A39669CD}" name="0.8 ppm" dataDxfId="6">
      <calculatedColumnFormula>_xlfn.NUMBERVALUE(LEFT(F$58,3)*(10^($D59-1.81)+1))</calculatedColumnFormula>
    </tableColumn>
    <tableColumn id="5" xr3:uid="{8C37DF3C-6EEA-4BFB-AA4A-7BE193E43581}" name="1.5 ppm" dataDxfId="5">
      <calculatedColumnFormula>_xlfn.NUMBERVALUE(LEFT(G$58,3)*(10^($D59-1.81)+1))</calculatedColumnFormula>
    </tableColumn>
  </tableColumns>
  <tableStyleInfo name="TableStyleLight2" showFirstColumn="0" showLastColumn="0"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4B86A2-6E8D-4401-811A-7C04FC935BD4}" name="Table1316" displayName="Table1316" ref="D94:E105" totalsRowShown="0" headerRowDxfId="4" dataDxfId="3">
  <autoFilter ref="D94:E105" xr:uid="{00000000-0009-0000-0100-000005000000}">
    <filterColumn colId="0" hiddenButton="1"/>
    <filterColumn colId="1" hiddenButton="1"/>
  </autoFilter>
  <tableColumns count="2">
    <tableColumn id="1" xr3:uid="{FBA2760C-6A09-4C16-8191-FBD6C94148A2}" name="ABV (%)" dataDxfId="2" dataCellStyle="Percent"/>
    <tableColumn id="2" xr3:uid="{FF0093F5-E5D6-4372-8A79-51C940265B70}" name="k-sorbate (g/l)" dataDxfId="1"/>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A1FC24-80A7-4509-A924-A6C40CF07C79}" name="Table2" displayName="Table2" ref="D108:E111" totalsRowShown="0" headerRowDxfId="0">
  <autoFilter ref="D108:E111" xr:uid="{00000000-0009-0000-0100-000007000000}">
    <filterColumn colId="0" hiddenButton="1"/>
    <filterColumn colId="1" hiddenButton="1"/>
  </autoFilter>
  <tableColumns count="2">
    <tableColumn id="1" xr3:uid="{2992E67D-8030-4962-B1AF-736B5E8CCFFA}" name="pH"/>
    <tableColumn id="2" xr3:uid="{8F655F5F-8560-49DB-A5B8-CC1022F30D64}" name="%"/>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794F86-8CA5-471B-A314-DF999476AB00}" name="HoneyAddition" displayName="HoneyAddition" ref="D49:E55" totalsRowShown="0" headerRowDxfId="47" dataDxfId="46" headerRowCellStyle="Normal" dataCellStyle="Normal">
  <autoFilter ref="D49:E55" xr:uid="{00000000-0009-0000-0100-000001000000}">
    <filterColumn colId="0" hiddenButton="1"/>
    <filterColumn colId="1" hiddenButton="1"/>
  </autoFilter>
  <tableColumns count="2">
    <tableColumn id="1" xr3:uid="{F38773E5-82D7-43E4-9DA9-96043DBBD6EB}" name="Units" dataDxfId="45" dataCellStyle="Normal"/>
    <tableColumn id="2" xr3:uid="{35350456-A897-438F-8B83-D6836DA61006}" name="Value" dataDxfId="44" dataCellStyle="Norma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DD5D07-B750-4394-B44E-3B9F89650AB9}" name="BatchSizeNew" displayName="BatchSizeNew" ref="D58:E63" totalsRowShown="0" headerRowDxfId="43" dataDxfId="42" headerRowCellStyle="Normal" dataCellStyle="Normal">
  <autoFilter ref="D58:E63" xr:uid="{00000000-0009-0000-0100-000004000000}">
    <filterColumn colId="0" hiddenButton="1"/>
    <filterColumn colId="1" hiddenButton="1"/>
  </autoFilter>
  <tableColumns count="2">
    <tableColumn id="1" xr3:uid="{B7732330-9C0D-4448-9179-873066E20609}" name="Units" dataDxfId="41" dataCellStyle="Normal"/>
    <tableColumn id="2" xr3:uid="{51D26B83-3DE4-4651-8688-3E0E509ACE7D}" name="Value" dataDxfId="40" dataCellStyle="Normal"/>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501C281-5614-46B8-9F49-3F680C77207B}" name="AlcoholLevelNew" displayName="AlcoholLevelNew" ref="D66:E68" totalsRowShown="0" headerRowDxfId="39" dataDxfId="38" headerRowCellStyle="Normal" dataCellStyle="Normal">
  <autoFilter ref="D66:E68" xr:uid="{00000000-0009-0000-0100-000005000000}">
    <filterColumn colId="0" hiddenButton="1"/>
    <filterColumn colId="1" hiddenButton="1"/>
  </autoFilter>
  <tableColumns count="2">
    <tableColumn id="1" xr3:uid="{2E3D724A-83C0-4E42-BC8F-4CA2FDBB1E39}" name="Units" dataDxfId="37" dataCellStyle="Normal"/>
    <tableColumn id="2" xr3:uid="{2BE0CC37-1515-42B1-9FB4-242D90EFBCC0}" name="Value" dataDxfId="36" dataCellStyle="Normal">
      <calculatedColumnFormula>F31/E58*F38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FD6B01-45C1-467C-B26E-016B3ACF2CC6}" name="Inputs" displayName="Inputs" ref="D29:G39" totalsRowShown="0" headerRowDxfId="35" dataDxfId="34" dataCellStyle="Normal">
  <autoFilter ref="D29:G39" xr:uid="{00000000-0009-0000-0100-000009000000}">
    <filterColumn colId="0" hiddenButton="1"/>
    <filterColumn colId="1" hiddenButton="1"/>
    <filterColumn colId="2" hiddenButton="1"/>
    <filterColumn colId="3" hiddenButton="1"/>
  </autoFilter>
  <tableColumns count="4">
    <tableColumn id="1" xr3:uid="{B0F318F5-BD08-47DC-9502-B9543EFE5B90}" name="Inputs" dataDxfId="33" dataCellStyle="Normal"/>
    <tableColumn id="2" xr3:uid="{5B2B9985-F931-4FF3-A228-BC0402C5DF5B}" name="Units" dataDxfId="32" dataCellStyle="Normal"/>
    <tableColumn id="3" xr3:uid="{AFCFA31F-36C1-48CF-90BD-D09F64007CEF}" name="Value" dataDxfId="31" dataCellStyle="Normal"/>
    <tableColumn id="4" xr3:uid="{A9715844-BF72-4EFE-8F3E-341D845E78E7}" name="Sources" dataDxfId="30" dataCellStyle="Normal"/>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142D29-B420-442D-A21D-6ADFE6376C90}" name="Table18" displayName="Table18" ref="D78:E83" totalsRowShown="0" headerRowDxfId="29" dataDxfId="28">
  <autoFilter ref="D78:E83" xr:uid="{7467A004-37F0-4854-A706-6B049EC8F30A}"/>
  <tableColumns count="2">
    <tableColumn id="1" xr3:uid="{EF0C2502-ECC1-498F-9A73-85CB1E352108}" name="Sweetness" dataDxfId="27"/>
    <tableColumn id="2" xr3:uid="{7E110EC8-907B-4468-8F8A-E3F6A91CAB3C}" name="SG" dataDxfId="2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inebusiness.com/tools/?go=winemaking.calc&amp;cid=21" TargetMode="External"/><Relationship Id="rId13" Type="http://schemas.openxmlformats.org/officeDocument/2006/relationships/table" Target="../tables/table2.xml"/><Relationship Id="rId3" Type="http://schemas.openxmlformats.org/officeDocument/2006/relationships/hyperlink" Target="http://winemakersacademy.com/potassium-metabisulfite-additions/" TargetMode="External"/><Relationship Id="rId7" Type="http://schemas.openxmlformats.org/officeDocument/2006/relationships/hyperlink" Target="https://vinoenology.com/calculators/SO2-addition/" TargetMode="External"/><Relationship Id="rId12" Type="http://schemas.openxmlformats.org/officeDocument/2006/relationships/table" Target="../tables/table1.xml"/><Relationship Id="rId2" Type="http://schemas.openxmlformats.org/officeDocument/2006/relationships/hyperlink" Target="http://winemaking.jackkeller.net/measures.asp" TargetMode="External"/><Relationship Id="rId16" Type="http://schemas.openxmlformats.org/officeDocument/2006/relationships/comments" Target="../comments1.xml"/><Relationship Id="rId1" Type="http://schemas.openxmlformats.org/officeDocument/2006/relationships/hyperlink" Target="http://www.bcawa.ca/winemaking/sorbate.htm" TargetMode="External"/><Relationship Id="rId6" Type="http://schemas.openxmlformats.org/officeDocument/2006/relationships/hyperlink" Target="https://morewinemaking.com/articles/SO2_management" TargetMode="External"/><Relationship Id="rId11" Type="http://schemas.openxmlformats.org/officeDocument/2006/relationships/vmlDrawing" Target="../drawings/vmlDrawing1.vml"/><Relationship Id="rId5" Type="http://schemas.openxmlformats.org/officeDocument/2006/relationships/hyperlink" Target="https://morewinemaking.com/products/sorbistat-potassium-sorbate.html" TargetMode="External"/><Relationship Id="rId15" Type="http://schemas.openxmlformats.org/officeDocument/2006/relationships/table" Target="../tables/table4.xml"/><Relationship Id="rId10" Type="http://schemas.openxmlformats.org/officeDocument/2006/relationships/drawing" Target="../drawings/drawing1.xml"/><Relationship Id="rId4" Type="http://schemas.openxmlformats.org/officeDocument/2006/relationships/hyperlink" Target="https://www.reddit.com/r/mead/wiki/process/stabilization" TargetMode="External"/><Relationship Id="rId9" Type="http://schemas.openxmlformats.org/officeDocument/2006/relationships/printerSettings" Target="../printerSettings/printerSettings1.bin"/><Relationship Id="rId1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DF4D-89C1-42A9-8A86-64673E1E7888}">
  <sheetPr>
    <tabColor theme="9"/>
    <pageSetUpPr autoPageBreaks="0"/>
  </sheetPr>
  <dimension ref="B2:AH181"/>
  <sheetViews>
    <sheetView showGridLines="0" tabSelected="1" zoomScaleNormal="100" workbookViewId="0">
      <selection activeCell="D8" sqref="D8"/>
    </sheetView>
  </sheetViews>
  <sheetFormatPr defaultColWidth="9.140625" defaultRowHeight="15" x14ac:dyDescent="0.25"/>
  <cols>
    <col min="1" max="1" width="3.85546875" style="2" customWidth="1"/>
    <col min="2" max="2" width="3" style="2" customWidth="1"/>
    <col min="3" max="3" width="3.28515625" style="2" customWidth="1"/>
    <col min="4" max="4" width="11" style="2" customWidth="1"/>
    <col min="5" max="5" width="8.42578125" style="2" customWidth="1"/>
    <col min="6" max="6" width="8.7109375" style="2" customWidth="1"/>
    <col min="7" max="7" width="5.28515625" style="2" customWidth="1"/>
    <col min="8" max="8" width="5.140625" style="2" customWidth="1"/>
    <col min="9" max="9" width="16.5703125" style="2" customWidth="1"/>
    <col min="10" max="10" width="5.140625" style="2" customWidth="1"/>
    <col min="11" max="11" width="11.42578125" style="2" customWidth="1"/>
    <col min="12" max="12" width="8.42578125" style="2" customWidth="1"/>
    <col min="13" max="13" width="8.5703125" style="2" customWidth="1"/>
    <col min="14" max="14" width="10.5703125" style="2" customWidth="1"/>
    <col min="15" max="15" width="2.7109375" style="2" customWidth="1"/>
    <col min="16" max="16" width="3" style="2" customWidth="1"/>
    <col min="17" max="16384" width="9.140625" style="2"/>
  </cols>
  <sheetData>
    <row r="2" spans="2:34" ht="45" customHeight="1" thickBot="1" x14ac:dyDescent="0.3">
      <c r="B2" s="86" t="s">
        <v>73</v>
      </c>
      <c r="C2" s="86"/>
      <c r="D2" s="86"/>
      <c r="E2" s="86"/>
      <c r="F2" s="86"/>
      <c r="G2" s="86"/>
      <c r="H2" s="86"/>
      <c r="I2" s="86"/>
      <c r="J2" s="86"/>
      <c r="K2" s="86"/>
      <c r="L2" s="86"/>
      <c r="M2" s="86"/>
      <c r="N2" s="86"/>
      <c r="O2" s="86"/>
      <c r="P2" s="86"/>
    </row>
    <row r="3" spans="2:34" ht="15" customHeight="1" x14ac:dyDescent="0.25">
      <c r="B3" s="87"/>
      <c r="C3" s="88"/>
      <c r="D3" s="88"/>
      <c r="E3" s="88"/>
      <c r="F3" s="88"/>
      <c r="G3" s="88"/>
      <c r="H3" s="88"/>
      <c r="I3" s="88"/>
      <c r="J3" s="88"/>
      <c r="K3" s="88"/>
      <c r="L3" s="88"/>
      <c r="M3" s="88"/>
      <c r="N3" s="88"/>
      <c r="O3" s="88"/>
      <c r="P3" s="89"/>
      <c r="R3" s="3"/>
      <c r="S3" s="3"/>
      <c r="T3" s="3"/>
      <c r="U3" s="3"/>
      <c r="V3" s="3"/>
      <c r="W3" s="3"/>
      <c r="Y3" s="3"/>
      <c r="Z3" s="3"/>
      <c r="AA3" s="3"/>
      <c r="AB3" s="3"/>
      <c r="AC3" s="3"/>
      <c r="AD3" s="3"/>
      <c r="AE3" s="3"/>
      <c r="AF3" s="3"/>
      <c r="AG3" s="3"/>
      <c r="AH3" s="3"/>
    </row>
    <row r="4" spans="2:34" ht="15" customHeight="1" x14ac:dyDescent="0.25">
      <c r="B4" s="90"/>
      <c r="C4" s="91"/>
      <c r="D4" s="92"/>
      <c r="E4" s="92" t="s">
        <v>74</v>
      </c>
      <c r="F4" s="92"/>
      <c r="G4" s="92"/>
      <c r="H4" s="92"/>
      <c r="I4" s="92"/>
      <c r="J4" s="93" t="s">
        <v>75</v>
      </c>
      <c r="K4" s="92"/>
      <c r="L4" s="92"/>
      <c r="M4" s="92"/>
      <c r="N4" s="94" t="s">
        <v>76</v>
      </c>
      <c r="O4" s="95"/>
      <c r="P4" s="96"/>
      <c r="Q4" s="3"/>
      <c r="R4" s="3"/>
      <c r="S4" s="3"/>
      <c r="T4" s="3"/>
      <c r="U4" s="3"/>
      <c r="V4" s="3"/>
      <c r="X4" s="3"/>
      <c r="Y4" s="3"/>
      <c r="Z4" s="3"/>
      <c r="AA4" s="3"/>
      <c r="AB4" s="3"/>
      <c r="AC4" s="3"/>
      <c r="AD4" s="3"/>
      <c r="AE4" s="3"/>
      <c r="AF4" s="3"/>
      <c r="AG4" s="3"/>
    </row>
    <row r="5" spans="2:34" ht="15" customHeight="1" x14ac:dyDescent="0.25">
      <c r="B5" s="90"/>
      <c r="C5" s="97"/>
      <c r="D5" s="98"/>
      <c r="E5" s="98"/>
      <c r="F5" s="98"/>
      <c r="G5" s="99"/>
      <c r="H5" s="98"/>
      <c r="I5" s="98"/>
      <c r="J5" s="100"/>
      <c r="K5" s="98"/>
      <c r="L5" s="99"/>
      <c r="M5" s="98"/>
      <c r="N5" s="101"/>
      <c r="O5" s="99"/>
      <c r="P5" s="96"/>
      <c r="Q5" s="3"/>
      <c r="R5" s="3"/>
      <c r="S5" s="3"/>
      <c r="T5" s="3"/>
      <c r="U5" s="3"/>
      <c r="V5" s="3"/>
      <c r="X5" s="3"/>
      <c r="Y5" s="3"/>
      <c r="Z5" s="3"/>
      <c r="AA5" s="3"/>
      <c r="AB5" s="3"/>
      <c r="AC5" s="3"/>
      <c r="AD5" s="3"/>
      <c r="AE5" s="3"/>
      <c r="AF5" s="3"/>
      <c r="AG5" s="3"/>
    </row>
    <row r="6" spans="2:34" ht="15" customHeight="1" x14ac:dyDescent="0.35">
      <c r="B6" s="90"/>
      <c r="C6" s="97"/>
      <c r="D6" s="98"/>
      <c r="E6" s="98"/>
      <c r="F6" s="98"/>
      <c r="G6" s="99"/>
      <c r="H6" s="98"/>
      <c r="I6" s="102" t="s">
        <v>77</v>
      </c>
      <c r="J6" s="4"/>
      <c r="K6" s="4"/>
      <c r="L6" s="99"/>
      <c r="M6" s="103" t="s">
        <v>0</v>
      </c>
      <c r="N6" s="104">
        <v>14</v>
      </c>
      <c r="O6" s="99"/>
      <c r="P6" s="96"/>
      <c r="R6" s="3"/>
      <c r="S6" s="3"/>
      <c r="T6" s="3"/>
      <c r="U6" s="3"/>
      <c r="V6" s="3"/>
      <c r="W6" s="3"/>
      <c r="X6" s="105"/>
      <c r="Y6" s="3"/>
      <c r="Z6" s="3"/>
      <c r="AA6" s="3"/>
      <c r="AB6" s="3"/>
      <c r="AC6" s="3"/>
      <c r="AD6" s="3"/>
      <c r="AE6" s="3"/>
      <c r="AF6" s="3"/>
      <c r="AG6" s="3"/>
      <c r="AH6" s="3"/>
    </row>
    <row r="7" spans="2:34" ht="15" customHeight="1" x14ac:dyDescent="0.25">
      <c r="B7" s="90"/>
      <c r="C7" s="97"/>
      <c r="D7" s="106" t="s">
        <v>78</v>
      </c>
      <c r="E7" s="98"/>
      <c r="F7" s="106" t="s">
        <v>79</v>
      </c>
      <c r="G7" s="99"/>
      <c r="H7" s="98"/>
      <c r="I7" s="107" t="s">
        <v>80</v>
      </c>
      <c r="J7" s="4"/>
      <c r="K7" s="106" t="s">
        <v>81</v>
      </c>
      <c r="L7" s="99"/>
      <c r="M7" s="101"/>
      <c r="N7" s="98"/>
      <c r="O7" s="99"/>
      <c r="P7" s="96"/>
      <c r="R7" s="3"/>
      <c r="S7" s="3"/>
      <c r="T7" s="3"/>
      <c r="U7" s="3"/>
      <c r="V7" s="3"/>
      <c r="W7" s="3"/>
      <c r="X7" s="105"/>
      <c r="Y7" s="3"/>
      <c r="Z7" s="3"/>
      <c r="AA7" s="3"/>
      <c r="AB7" s="3"/>
      <c r="AC7" s="3"/>
      <c r="AD7" s="3"/>
      <c r="AE7" s="3"/>
      <c r="AF7" s="3"/>
      <c r="AG7" s="3"/>
      <c r="AH7" s="3"/>
    </row>
    <row r="8" spans="2:34" ht="15" customHeight="1" x14ac:dyDescent="0.25">
      <c r="B8" s="90"/>
      <c r="C8" s="97"/>
      <c r="D8" s="108">
        <v>5</v>
      </c>
      <c r="E8" s="98"/>
      <c r="F8" s="104">
        <v>3.8</v>
      </c>
      <c r="G8" s="99"/>
      <c r="H8" s="98"/>
      <c r="I8" s="4"/>
      <c r="J8" s="4"/>
      <c r="K8" s="109">
        <f>VLOOKUP(I7,D52:H54,(IF(K9="grams",4,5)),FALSE)</f>
        <v>2.6222406184685902</v>
      </c>
      <c r="L8" s="99"/>
      <c r="M8" s="98"/>
      <c r="N8" s="103" t="s">
        <v>82</v>
      </c>
      <c r="O8" s="99"/>
      <c r="P8" s="96"/>
      <c r="R8" s="3"/>
      <c r="S8" s="3"/>
      <c r="T8" s="3"/>
      <c r="U8" s="3"/>
      <c r="V8" s="3"/>
      <c r="W8" s="3"/>
      <c r="X8" s="3"/>
      <c r="Y8" s="3"/>
      <c r="Z8" s="3"/>
      <c r="AA8" s="3"/>
      <c r="AB8" s="3"/>
      <c r="AC8" s="3"/>
      <c r="AD8" s="3"/>
      <c r="AE8" s="3"/>
      <c r="AF8" s="3"/>
      <c r="AG8" s="3"/>
      <c r="AH8" s="3"/>
    </row>
    <row r="9" spans="2:34" ht="15" customHeight="1" x14ac:dyDescent="0.35">
      <c r="B9" s="90"/>
      <c r="C9" s="97"/>
      <c r="D9" s="110" t="s">
        <v>1</v>
      </c>
      <c r="E9" s="98"/>
      <c r="F9" s="98"/>
      <c r="G9" s="99"/>
      <c r="H9" s="98"/>
      <c r="I9" s="106" t="s">
        <v>83</v>
      </c>
      <c r="J9" s="4"/>
      <c r="K9" s="111" t="s">
        <v>2</v>
      </c>
      <c r="L9" s="99"/>
      <c r="M9" s="112"/>
      <c r="N9" s="109">
        <f>D91</f>
        <v>1.4063029530561981</v>
      </c>
      <c r="O9" s="99"/>
      <c r="P9" s="96"/>
      <c r="R9" s="3"/>
      <c r="S9" s="3"/>
      <c r="T9" s="3"/>
      <c r="U9" s="3"/>
      <c r="V9" s="3"/>
      <c r="W9" s="3"/>
      <c r="X9" s="3"/>
      <c r="Y9" s="3"/>
      <c r="Z9" s="3"/>
      <c r="AA9" s="3"/>
      <c r="AB9" s="3"/>
      <c r="AC9" s="3"/>
      <c r="AD9" s="3"/>
      <c r="AE9" s="3"/>
      <c r="AF9" s="3"/>
      <c r="AG9" s="3"/>
      <c r="AH9" s="3"/>
    </row>
    <row r="10" spans="2:34" ht="15" customHeight="1" x14ac:dyDescent="0.25">
      <c r="B10" s="90"/>
      <c r="C10" s="97"/>
      <c r="D10" s="98"/>
      <c r="E10" s="98"/>
      <c r="F10" s="98"/>
      <c r="G10" s="99"/>
      <c r="H10" s="4"/>
      <c r="I10" s="113">
        <v>0</v>
      </c>
      <c r="J10" s="4"/>
      <c r="K10" s="4"/>
      <c r="L10" s="99"/>
      <c r="M10" s="112"/>
      <c r="N10" s="111" t="s">
        <v>2</v>
      </c>
      <c r="O10" s="99"/>
      <c r="P10" s="96"/>
      <c r="R10" s="3"/>
      <c r="S10" s="3"/>
      <c r="T10" s="3"/>
      <c r="U10" s="3"/>
      <c r="V10" s="3"/>
      <c r="W10" s="3"/>
      <c r="X10" s="3"/>
      <c r="Y10" s="3"/>
      <c r="Z10" s="3"/>
      <c r="AA10" s="3"/>
      <c r="AB10" s="3"/>
      <c r="AC10" s="3"/>
      <c r="AD10" s="3"/>
      <c r="AE10" s="3"/>
      <c r="AF10" s="3"/>
      <c r="AG10" s="3"/>
      <c r="AH10" s="3"/>
    </row>
    <row r="11" spans="2:34" ht="15" customHeight="1" x14ac:dyDescent="0.25">
      <c r="B11" s="90"/>
      <c r="C11" s="114"/>
      <c r="D11" s="115"/>
      <c r="E11" s="115"/>
      <c r="F11" s="115"/>
      <c r="G11" s="115"/>
      <c r="H11" s="115"/>
      <c r="I11" s="115"/>
      <c r="J11" s="115"/>
      <c r="K11" s="115"/>
      <c r="L11" s="115"/>
      <c r="M11" s="115"/>
      <c r="N11" s="115"/>
      <c r="O11" s="116"/>
      <c r="P11" s="96"/>
      <c r="Q11" s="3"/>
      <c r="R11" s="3"/>
      <c r="S11" s="3"/>
      <c r="T11" s="3"/>
      <c r="U11" s="3"/>
      <c r="V11" s="3"/>
      <c r="W11" s="3"/>
      <c r="X11" s="3"/>
      <c r="Y11" s="3"/>
      <c r="Z11" s="3"/>
      <c r="AA11" s="3"/>
      <c r="AB11" s="3"/>
      <c r="AC11" s="3"/>
      <c r="AD11" s="3"/>
      <c r="AE11" s="3"/>
      <c r="AF11" s="3"/>
      <c r="AG11" s="3"/>
    </row>
    <row r="12" spans="2:34" ht="15" customHeight="1" x14ac:dyDescent="0.25">
      <c r="B12" s="90"/>
      <c r="C12" s="98"/>
      <c r="D12" s="98"/>
      <c r="E12" s="98"/>
      <c r="F12" s="98"/>
      <c r="G12" s="98"/>
      <c r="H12" s="98"/>
      <c r="I12" s="98"/>
      <c r="J12" s="98"/>
      <c r="K12" s="98"/>
      <c r="L12" s="98"/>
      <c r="M12" s="98"/>
      <c r="N12" s="98"/>
      <c r="O12" s="98"/>
      <c r="P12" s="96"/>
      <c r="R12" s="3"/>
      <c r="S12" s="3"/>
      <c r="T12" s="3"/>
      <c r="U12" s="3"/>
      <c r="V12" s="3"/>
      <c r="W12" s="3"/>
      <c r="X12" s="3"/>
      <c r="Y12" s="3"/>
      <c r="Z12" s="3"/>
      <c r="AA12" s="3"/>
      <c r="AB12" s="3"/>
      <c r="AC12" s="3"/>
      <c r="AD12" s="3"/>
      <c r="AE12" s="3"/>
      <c r="AF12" s="3"/>
      <c r="AG12" s="3"/>
      <c r="AH12" s="3"/>
    </row>
    <row r="13" spans="2:34" ht="15" customHeight="1" x14ac:dyDescent="0.25">
      <c r="B13" s="90"/>
      <c r="C13" s="98"/>
      <c r="D13" s="98"/>
      <c r="E13" s="98"/>
      <c r="F13" s="98"/>
      <c r="G13" s="98"/>
      <c r="H13" s="98"/>
      <c r="I13" s="98"/>
      <c r="J13" s="98"/>
      <c r="K13" s="98"/>
      <c r="L13" s="98"/>
      <c r="M13" s="98"/>
      <c r="N13" s="98"/>
      <c r="O13" s="98"/>
      <c r="P13" s="96"/>
      <c r="R13" s="3"/>
      <c r="S13" s="3"/>
      <c r="T13" s="3"/>
      <c r="U13" s="3"/>
      <c r="V13" s="3"/>
      <c r="W13" s="3"/>
      <c r="X13" s="3"/>
      <c r="Y13" s="3"/>
      <c r="Z13" s="3"/>
      <c r="AA13" s="3"/>
      <c r="AB13" s="3"/>
      <c r="AC13" s="3"/>
      <c r="AD13" s="3"/>
      <c r="AE13" s="3"/>
      <c r="AF13" s="3"/>
      <c r="AG13" s="3"/>
      <c r="AH13" s="3"/>
    </row>
    <row r="14" spans="2:34" ht="15" customHeight="1" x14ac:dyDescent="0.25">
      <c r="B14" s="90"/>
      <c r="C14" s="98"/>
      <c r="D14" s="98"/>
      <c r="E14" s="98"/>
      <c r="F14" s="98"/>
      <c r="G14" s="98"/>
      <c r="H14" s="98"/>
      <c r="I14" s="98"/>
      <c r="J14" s="90"/>
      <c r="K14" s="98"/>
      <c r="L14" s="98"/>
      <c r="M14" s="98"/>
      <c r="N14" s="98"/>
      <c r="O14" s="98"/>
      <c r="P14" s="96"/>
      <c r="R14" s="3"/>
      <c r="S14" s="3"/>
      <c r="T14" s="3"/>
      <c r="U14" s="3"/>
      <c r="V14" s="3"/>
      <c r="W14" s="3"/>
      <c r="X14" s="3"/>
      <c r="Y14" s="3"/>
      <c r="Z14" s="3"/>
      <c r="AA14" s="3"/>
      <c r="AB14" s="3"/>
      <c r="AC14" s="3"/>
      <c r="AD14" s="3"/>
      <c r="AE14" s="3"/>
      <c r="AF14" s="3"/>
      <c r="AG14" s="3"/>
      <c r="AH14" s="3"/>
    </row>
    <row r="15" spans="2:34" ht="15" customHeight="1" x14ac:dyDescent="0.25">
      <c r="B15" s="90"/>
      <c r="C15" s="98"/>
      <c r="D15" s="98"/>
      <c r="E15" s="98"/>
      <c r="F15" s="98"/>
      <c r="G15" s="98"/>
      <c r="H15" s="98"/>
      <c r="I15" s="98"/>
      <c r="J15" s="90"/>
      <c r="K15" s="98"/>
      <c r="L15" s="98"/>
      <c r="M15" s="98"/>
      <c r="N15" s="98"/>
      <c r="O15" s="98"/>
      <c r="P15" s="96"/>
      <c r="R15" s="3"/>
      <c r="S15" s="3"/>
      <c r="T15" s="3"/>
      <c r="U15" s="3"/>
      <c r="V15" s="3"/>
      <c r="W15" s="3"/>
      <c r="X15" s="3"/>
      <c r="Y15" s="3"/>
      <c r="Z15" s="3"/>
      <c r="AA15" s="3"/>
      <c r="AB15" s="3"/>
      <c r="AC15" s="3"/>
      <c r="AD15" s="3"/>
      <c r="AE15" s="3"/>
      <c r="AF15" s="3"/>
      <c r="AG15" s="3"/>
      <c r="AH15" s="3"/>
    </row>
    <row r="16" spans="2:34" ht="15" customHeight="1" x14ac:dyDescent="0.25">
      <c r="B16" s="90"/>
      <c r="C16" s="98"/>
      <c r="D16" s="98"/>
      <c r="E16" s="98"/>
      <c r="F16" s="98"/>
      <c r="G16" s="98"/>
      <c r="H16" s="98"/>
      <c r="I16" s="98"/>
      <c r="J16" s="90"/>
      <c r="K16" s="98"/>
      <c r="L16" s="98"/>
      <c r="M16" s="98"/>
      <c r="N16" s="98"/>
      <c r="O16" s="98"/>
      <c r="P16" s="96"/>
      <c r="R16" s="3"/>
      <c r="S16" s="3"/>
      <c r="T16" s="3"/>
      <c r="U16" s="3"/>
      <c r="V16" s="3"/>
      <c r="W16" s="3"/>
      <c r="X16" s="3"/>
      <c r="Y16" s="3"/>
      <c r="Z16" s="3"/>
      <c r="AA16" s="3"/>
      <c r="AB16" s="3"/>
      <c r="AC16" s="3"/>
      <c r="AD16" s="3"/>
      <c r="AE16" s="3"/>
      <c r="AF16" s="3"/>
      <c r="AG16" s="3"/>
      <c r="AH16" s="3"/>
    </row>
    <row r="17" spans="2:34" ht="15" customHeight="1" x14ac:dyDescent="0.25">
      <c r="B17" s="90"/>
      <c r="C17" s="98"/>
      <c r="D17" s="98"/>
      <c r="E17" s="98"/>
      <c r="F17" s="98"/>
      <c r="G17" s="98"/>
      <c r="H17" s="98"/>
      <c r="I17" s="98"/>
      <c r="J17" s="90"/>
      <c r="K17" s="98"/>
      <c r="L17" s="98"/>
      <c r="M17" s="98"/>
      <c r="N17" s="98"/>
      <c r="O17" s="98"/>
      <c r="P17" s="96"/>
      <c r="Q17" s="3"/>
      <c r="R17" s="3"/>
      <c r="S17" s="3"/>
      <c r="T17" s="3"/>
      <c r="U17" s="3"/>
      <c r="V17" s="3"/>
      <c r="W17" s="3"/>
      <c r="X17" s="3"/>
      <c r="Y17" s="3"/>
      <c r="Z17" s="3"/>
      <c r="AA17" s="3"/>
      <c r="AB17" s="3"/>
      <c r="AC17" s="3"/>
      <c r="AD17" s="3"/>
      <c r="AE17" s="3"/>
      <c r="AF17" s="3"/>
      <c r="AG17" s="3"/>
      <c r="AH17" s="3"/>
    </row>
    <row r="18" spans="2:34" ht="15" customHeight="1" x14ac:dyDescent="0.25">
      <c r="B18" s="90"/>
      <c r="C18" s="98"/>
      <c r="D18" s="98"/>
      <c r="E18" s="98"/>
      <c r="F18" s="98"/>
      <c r="G18" s="98"/>
      <c r="H18" s="98"/>
      <c r="I18" s="98"/>
      <c r="J18" s="90"/>
      <c r="K18" s="98"/>
      <c r="L18" s="98"/>
      <c r="M18" s="98"/>
      <c r="N18" s="98"/>
      <c r="O18" s="98"/>
      <c r="P18" s="96"/>
      <c r="Q18" s="3"/>
      <c r="R18" s="3"/>
      <c r="S18" s="3"/>
      <c r="T18" s="3"/>
      <c r="U18" s="3"/>
      <c r="V18" s="3"/>
      <c r="W18" s="3"/>
      <c r="X18" s="3"/>
      <c r="Y18" s="3"/>
      <c r="Z18" s="3"/>
      <c r="AA18" s="3"/>
      <c r="AB18" s="3"/>
      <c r="AC18" s="3"/>
      <c r="AD18" s="3"/>
      <c r="AE18" s="3"/>
      <c r="AF18" s="3"/>
      <c r="AG18" s="3"/>
      <c r="AH18" s="3"/>
    </row>
    <row r="19" spans="2:34" ht="15" customHeight="1" x14ac:dyDescent="0.25">
      <c r="B19" s="90"/>
      <c r="C19" s="98"/>
      <c r="D19" s="98"/>
      <c r="E19" s="98"/>
      <c r="F19" s="98"/>
      <c r="G19" s="98"/>
      <c r="H19" s="98"/>
      <c r="I19" s="98"/>
      <c r="J19" s="90"/>
      <c r="K19" s="98"/>
      <c r="L19" s="98"/>
      <c r="M19" s="98"/>
      <c r="N19" s="98"/>
      <c r="O19" s="98"/>
      <c r="P19" s="96"/>
    </row>
    <row r="20" spans="2:34" ht="15" customHeight="1" x14ac:dyDescent="0.25">
      <c r="B20" s="90"/>
      <c r="C20" s="98"/>
      <c r="D20" s="98"/>
      <c r="E20" s="98"/>
      <c r="F20" s="98"/>
      <c r="G20" s="98"/>
      <c r="H20" s="98"/>
      <c r="I20" s="98"/>
      <c r="J20" s="90"/>
      <c r="K20" s="98"/>
      <c r="L20" s="98"/>
      <c r="M20" s="98"/>
      <c r="N20" s="98"/>
      <c r="O20" s="98"/>
      <c r="P20" s="96"/>
    </row>
    <row r="21" spans="2:34" ht="15" customHeight="1" x14ac:dyDescent="0.25">
      <c r="B21" s="90"/>
      <c r="C21" s="98"/>
      <c r="D21" s="98"/>
      <c r="E21" s="98"/>
      <c r="F21" s="98"/>
      <c r="G21" s="98"/>
      <c r="H21" s="98"/>
      <c r="I21" s="98"/>
      <c r="J21" s="90"/>
      <c r="K21" s="98"/>
      <c r="L21" s="98"/>
      <c r="M21" s="98"/>
      <c r="N21" s="98"/>
      <c r="O21" s="98"/>
      <c r="P21" s="96"/>
    </row>
    <row r="22" spans="2:34" ht="15" customHeight="1" x14ac:dyDescent="0.25">
      <c r="B22" s="90"/>
      <c r="C22" s="98"/>
      <c r="D22" s="98"/>
      <c r="E22" s="98"/>
      <c r="F22" s="98"/>
      <c r="G22" s="98"/>
      <c r="H22" s="98"/>
      <c r="I22" s="98"/>
      <c r="J22" s="90"/>
      <c r="K22" s="98"/>
      <c r="L22" s="98"/>
      <c r="M22" s="98"/>
      <c r="N22" s="98"/>
      <c r="O22" s="98"/>
      <c r="P22" s="96"/>
    </row>
    <row r="23" spans="2:34" ht="15" customHeight="1" x14ac:dyDescent="0.25">
      <c r="B23" s="90"/>
      <c r="C23" s="98"/>
      <c r="D23" s="98"/>
      <c r="E23" s="98"/>
      <c r="F23" s="98"/>
      <c r="G23" s="98"/>
      <c r="H23" s="98"/>
      <c r="I23" s="98"/>
      <c r="J23" s="90"/>
      <c r="K23" s="98"/>
      <c r="L23" s="98"/>
      <c r="M23" s="98"/>
      <c r="N23" s="98"/>
      <c r="O23" s="98"/>
      <c r="P23" s="96"/>
    </row>
    <row r="24" spans="2:34" ht="15" customHeight="1" x14ac:dyDescent="0.25">
      <c r="B24" s="90"/>
      <c r="C24" s="98"/>
      <c r="D24" s="98"/>
      <c r="E24" s="98"/>
      <c r="F24" s="98"/>
      <c r="G24" s="98"/>
      <c r="H24" s="98"/>
      <c r="I24" s="98"/>
      <c r="J24" s="90"/>
      <c r="K24" s="98"/>
      <c r="L24" s="98"/>
      <c r="M24" s="98"/>
      <c r="N24" s="98"/>
      <c r="O24" s="98"/>
      <c r="P24" s="96"/>
    </row>
    <row r="25" spans="2:34" ht="15" customHeight="1" thickBot="1" x14ac:dyDescent="0.3">
      <c r="B25" s="117"/>
      <c r="C25" s="118"/>
      <c r="D25" s="118"/>
      <c r="E25" s="118"/>
      <c r="F25" s="118"/>
      <c r="G25" s="118"/>
      <c r="H25" s="118"/>
      <c r="I25" s="118"/>
      <c r="J25" s="118"/>
      <c r="K25" s="118"/>
      <c r="L25" s="118"/>
      <c r="M25" s="118"/>
      <c r="N25" s="118"/>
      <c r="O25" s="118"/>
      <c r="P25" s="119" t="s">
        <v>3</v>
      </c>
    </row>
    <row r="26" spans="2:34" x14ac:dyDescent="0.25">
      <c r="B26" s="120"/>
      <c r="C26" s="120"/>
      <c r="D26" s="120"/>
      <c r="E26" s="120"/>
      <c r="F26" s="120"/>
      <c r="G26" s="120"/>
      <c r="H26" s="120"/>
      <c r="I26" s="120"/>
      <c r="J26" s="120"/>
      <c r="K26" s="120"/>
      <c r="L26" s="120"/>
      <c r="M26" s="120"/>
      <c r="N26" s="120"/>
      <c r="O26" s="120"/>
      <c r="P26" s="120"/>
    </row>
    <row r="27" spans="2:34" ht="20.25" thickBot="1" x14ac:dyDescent="0.35">
      <c r="D27" s="5" t="s">
        <v>84</v>
      </c>
    </row>
    <row r="28" spans="2:34" ht="15.75" thickTop="1" x14ac:dyDescent="0.25">
      <c r="D28" s="105" t="s">
        <v>85</v>
      </c>
    </row>
    <row r="29" spans="2:34" x14ac:dyDescent="0.25">
      <c r="D29" s="105" t="s">
        <v>86</v>
      </c>
    </row>
    <row r="30" spans="2:34" x14ac:dyDescent="0.25">
      <c r="D30" s="121" t="s">
        <v>87</v>
      </c>
    </row>
    <row r="31" spans="2:34" x14ac:dyDescent="0.25">
      <c r="D31" s="105" t="s">
        <v>88</v>
      </c>
    </row>
    <row r="32" spans="2:34" x14ac:dyDescent="0.25">
      <c r="D32" s="105" t="s">
        <v>89</v>
      </c>
    </row>
    <row r="33" spans="4:13" x14ac:dyDescent="0.25">
      <c r="D33" s="105" t="s">
        <v>90</v>
      </c>
    </row>
    <row r="34" spans="4:13" x14ac:dyDescent="0.25">
      <c r="D34" s="105" t="s">
        <v>91</v>
      </c>
    </row>
    <row r="35" spans="4:13" x14ac:dyDescent="0.25">
      <c r="D35" s="105" t="s">
        <v>92</v>
      </c>
    </row>
    <row r="36" spans="4:13" x14ac:dyDescent="0.25">
      <c r="D36" s="105" t="s">
        <v>93</v>
      </c>
    </row>
    <row r="37" spans="4:13" x14ac:dyDescent="0.25">
      <c r="D37" s="105" t="s">
        <v>94</v>
      </c>
    </row>
    <row r="38" spans="4:13" x14ac:dyDescent="0.25">
      <c r="D38" s="122" t="s">
        <v>95</v>
      </c>
    </row>
    <row r="39" spans="4:13" x14ac:dyDescent="0.25">
      <c r="D39" s="122"/>
    </row>
    <row r="40" spans="4:13" ht="20.25" thickBot="1" x14ac:dyDescent="0.35">
      <c r="D40" s="123" t="s">
        <v>4</v>
      </c>
      <c r="E40" s="123"/>
    </row>
    <row r="41" spans="4:13" ht="15.75" thickTop="1" x14ac:dyDescent="0.25"/>
    <row r="42" spans="4:13" ht="15.75" thickBot="1" x14ac:dyDescent="0.3">
      <c r="D42" s="124" t="s">
        <v>96</v>
      </c>
      <c r="E42" s="124"/>
      <c r="F42" s="124"/>
      <c r="G42" s="124"/>
      <c r="H42" s="124"/>
      <c r="I42" s="124"/>
      <c r="J42" s="124"/>
      <c r="K42" s="124"/>
      <c r="L42" s="124"/>
      <c r="M42" s="124"/>
    </row>
    <row r="44" spans="4:13" ht="15.75" thickBot="1" x14ac:dyDescent="0.3">
      <c r="D44" s="125" t="s">
        <v>97</v>
      </c>
    </row>
    <row r="46" spans="4:13" x14ac:dyDescent="0.25">
      <c r="E46" s="126" t="s">
        <v>98</v>
      </c>
      <c r="F46" s="127">
        <f>F8</f>
        <v>3.8</v>
      </c>
    </row>
    <row r="47" spans="4:13" x14ac:dyDescent="0.25">
      <c r="E47" s="126" t="s">
        <v>99</v>
      </c>
      <c r="F47" s="128">
        <f>I10</f>
        <v>0</v>
      </c>
    </row>
    <row r="49" spans="4:13" ht="15.75" thickBot="1" x14ac:dyDescent="0.3">
      <c r="D49" s="125" t="s">
        <v>100</v>
      </c>
      <c r="I49" s="129"/>
    </row>
    <row r="50" spans="4:13" x14ac:dyDescent="0.25">
      <c r="I50" s="129"/>
    </row>
    <row r="51" spans="4:13" ht="132" customHeight="1" x14ac:dyDescent="0.25">
      <c r="E51" s="130" t="s">
        <v>101</v>
      </c>
      <c r="F51" s="130" t="s">
        <v>102</v>
      </c>
      <c r="G51" s="130" t="s">
        <v>103</v>
      </c>
      <c r="H51" s="130" t="s">
        <v>104</v>
      </c>
    </row>
    <row r="52" spans="4:13" x14ac:dyDescent="0.25">
      <c r="D52" s="131" t="s">
        <v>105</v>
      </c>
      <c r="E52" s="132">
        <f>_xlfn.NUMBERVALUE(LEFT(D52,3)*(10^($F$46-1.81)+1))</f>
        <v>49.361861047790498</v>
      </c>
      <c r="F52" s="133">
        <f>(E52-$F$47)/1000/0.57</f>
        <v>8.6599756224193872E-2</v>
      </c>
      <c r="G52" s="133">
        <f>F52*$D$8*IF($D$9="liters",1,3.785)</f>
        <v>1.6389003865428691</v>
      </c>
      <c r="H52" s="133">
        <f>G52/6.2</f>
        <v>0.2643387720230434</v>
      </c>
    </row>
    <row r="53" spans="4:13" x14ac:dyDescent="0.25">
      <c r="D53" s="131" t="s">
        <v>80</v>
      </c>
      <c r="E53" s="132">
        <f t="shared" ref="E53:E54" si="0">_xlfn.NUMBERVALUE(LEFT(D53,3)*(10^($F$46-1.81)+1))</f>
        <v>78.978977676464794</v>
      </c>
      <c r="F53" s="133">
        <f>(E53-$F$47)/1000/0.57</f>
        <v>0.13855960995871017</v>
      </c>
      <c r="G53" s="133">
        <f>F53*$D$8*IF($D$9="liters",1,3.785)</f>
        <v>2.6222406184685902</v>
      </c>
      <c r="H53" s="133">
        <f t="shared" ref="H53:H54" si="1">G53/6.2</f>
        <v>0.42294203523686941</v>
      </c>
    </row>
    <row r="54" spans="4:13" x14ac:dyDescent="0.25">
      <c r="D54" s="131" t="s">
        <v>106</v>
      </c>
      <c r="E54" s="132">
        <f t="shared" si="0"/>
        <v>148.08558314337199</v>
      </c>
      <c r="F54" s="133">
        <f>(E54-$F$47)/1000/0.57</f>
        <v>0.25979926867258246</v>
      </c>
      <c r="G54" s="133">
        <f>F54*$D$8*IF($D$9="liters",1,3.785)</f>
        <v>4.9167011596286239</v>
      </c>
      <c r="H54" s="133">
        <f t="shared" si="1"/>
        <v>0.79301631606913281</v>
      </c>
    </row>
    <row r="56" spans="4:13" ht="15.75" thickBot="1" x14ac:dyDescent="0.3">
      <c r="D56" s="125" t="s">
        <v>107</v>
      </c>
    </row>
    <row r="58" spans="4:13" x14ac:dyDescent="0.25">
      <c r="D58" s="129" t="s">
        <v>98</v>
      </c>
      <c r="E58" s="129" t="s">
        <v>108</v>
      </c>
      <c r="F58" s="129" t="s">
        <v>109</v>
      </c>
      <c r="G58" s="134" t="s">
        <v>110</v>
      </c>
      <c r="H58" s="129"/>
    </row>
    <row r="59" spans="4:13" x14ac:dyDescent="0.25">
      <c r="D59" s="135">
        <v>2.9</v>
      </c>
      <c r="E59" s="136">
        <f t="shared" ref="E59:G70" si="2">_xlfn.NUMBERVALUE(LEFT(E$58,3)*(10^($D59-1.81)+1))</f>
        <v>6.6513438540619099</v>
      </c>
      <c r="F59" s="136">
        <f t="shared" si="2"/>
        <v>10.6421501664991</v>
      </c>
      <c r="G59" s="136">
        <f t="shared" si="2"/>
        <v>19.954031562185701</v>
      </c>
      <c r="H59" s="129"/>
      <c r="L59" s="137"/>
      <c r="M59" s="137"/>
    </row>
    <row r="60" spans="4:13" x14ac:dyDescent="0.25">
      <c r="D60" s="135">
        <v>3</v>
      </c>
      <c r="E60" s="136">
        <f t="shared" si="2"/>
        <v>8.2440830945624093</v>
      </c>
      <c r="F60" s="136">
        <f t="shared" si="2"/>
        <v>13.1905329512999</v>
      </c>
      <c r="G60" s="136">
        <f t="shared" si="2"/>
        <v>24.732249283687199</v>
      </c>
      <c r="H60" s="129"/>
      <c r="K60" s="137"/>
      <c r="L60" s="137"/>
      <c r="M60" s="137"/>
    </row>
    <row r="61" spans="4:13" x14ac:dyDescent="0.25">
      <c r="D61" s="135">
        <v>3.1</v>
      </c>
      <c r="E61" s="136">
        <f t="shared" si="2"/>
        <v>10.2492229987902</v>
      </c>
      <c r="F61" s="136">
        <f t="shared" si="2"/>
        <v>16.398756798064401</v>
      </c>
      <c r="G61" s="136">
        <f t="shared" si="2"/>
        <v>30.747668996370699</v>
      </c>
      <c r="H61" s="129"/>
      <c r="K61" s="137"/>
      <c r="L61" s="137"/>
      <c r="M61" s="137"/>
    </row>
    <row r="62" spans="4:13" x14ac:dyDescent="0.25">
      <c r="D62" s="135">
        <v>3.2</v>
      </c>
      <c r="E62" s="136">
        <f t="shared" si="2"/>
        <v>12.7735445784252</v>
      </c>
      <c r="F62" s="136">
        <f t="shared" si="2"/>
        <v>20.437671325480299</v>
      </c>
      <c r="G62" s="136">
        <f t="shared" si="2"/>
        <v>38.3206337352755</v>
      </c>
      <c r="H62" s="129"/>
      <c r="K62" s="137"/>
      <c r="L62" s="137"/>
      <c r="M62" s="137"/>
    </row>
    <row r="63" spans="4:13" x14ac:dyDescent="0.25">
      <c r="D63" s="135">
        <v>3.3</v>
      </c>
      <c r="E63" s="136">
        <f t="shared" si="2"/>
        <v>15.951477162568001</v>
      </c>
      <c r="F63" s="136">
        <f t="shared" si="2"/>
        <v>25.5223634601087</v>
      </c>
      <c r="G63" s="136">
        <f t="shared" si="2"/>
        <v>47.854431487703899</v>
      </c>
      <c r="H63" s="129"/>
      <c r="K63" s="137"/>
      <c r="L63" s="137"/>
      <c r="M63" s="137"/>
    </row>
    <row r="64" spans="4:13" x14ac:dyDescent="0.25">
      <c r="D64" s="135">
        <v>3.4</v>
      </c>
      <c r="E64" s="136">
        <f t="shared" si="2"/>
        <v>19.952257249713998</v>
      </c>
      <c r="F64" s="136">
        <f t="shared" si="2"/>
        <v>31.923611599542401</v>
      </c>
      <c r="G64" s="136">
        <f t="shared" si="2"/>
        <v>59.856771749142098</v>
      </c>
      <c r="H64" s="129"/>
      <c r="K64" s="137"/>
      <c r="L64" s="137"/>
      <c r="M64" s="137"/>
    </row>
    <row r="65" spans="4:13" x14ac:dyDescent="0.25">
      <c r="D65" s="135">
        <v>3.5</v>
      </c>
      <c r="E65" s="136">
        <f t="shared" si="2"/>
        <v>24.988940968422298</v>
      </c>
      <c r="F65" s="136">
        <f t="shared" si="2"/>
        <v>39.982305549475697</v>
      </c>
      <c r="G65" s="136">
        <f t="shared" si="2"/>
        <v>74.966822905266994</v>
      </c>
      <c r="H65" s="129"/>
      <c r="K65" s="137"/>
      <c r="L65" s="137"/>
      <c r="M65" s="137"/>
    </row>
    <row r="66" spans="4:13" x14ac:dyDescent="0.25">
      <c r="D66" s="135">
        <v>3.6</v>
      </c>
      <c r="E66" s="136">
        <f t="shared" si="2"/>
        <v>31.3297500930741</v>
      </c>
      <c r="F66" s="136">
        <f t="shared" si="2"/>
        <v>50.127600148918603</v>
      </c>
      <c r="G66" s="136">
        <f t="shared" si="2"/>
        <v>93.989250279222404</v>
      </c>
      <c r="H66" s="129"/>
      <c r="K66" s="137"/>
      <c r="L66" s="137"/>
      <c r="M66" s="137"/>
    </row>
    <row r="67" spans="4:13" x14ac:dyDescent="0.25">
      <c r="D67" s="135">
        <v>3.7</v>
      </c>
      <c r="E67" s="136">
        <f t="shared" si="2"/>
        <v>39.312355831434601</v>
      </c>
      <c r="F67" s="136">
        <f t="shared" si="2"/>
        <v>62.899769330295399</v>
      </c>
      <c r="G67" s="136">
        <f t="shared" si="2"/>
        <v>117.937067494304</v>
      </c>
      <c r="H67" s="129"/>
      <c r="K67" s="137"/>
      <c r="L67" s="137"/>
      <c r="M67" s="137"/>
    </row>
    <row r="68" spans="4:13" x14ac:dyDescent="0.25">
      <c r="D68" s="135">
        <v>3.8</v>
      </c>
      <c r="E68" s="136">
        <f t="shared" si="2"/>
        <v>49.361861047790498</v>
      </c>
      <c r="F68" s="136">
        <f t="shared" si="2"/>
        <v>78.978977676464794</v>
      </c>
      <c r="G68" s="136">
        <f t="shared" si="2"/>
        <v>148.08558314337199</v>
      </c>
      <c r="H68" s="129"/>
      <c r="J68" s="6"/>
      <c r="K68" s="137"/>
      <c r="L68" s="137"/>
      <c r="M68" s="137"/>
    </row>
    <row r="69" spans="4:13" x14ac:dyDescent="0.25">
      <c r="D69" s="135">
        <v>3.9</v>
      </c>
      <c r="E69" s="136">
        <f t="shared" si="2"/>
        <v>62.013438540619099</v>
      </c>
      <c r="F69" s="136">
        <f t="shared" si="2"/>
        <v>99.221501664990598</v>
      </c>
      <c r="G69" s="136">
        <f t="shared" si="2"/>
        <v>186.04031562185699</v>
      </c>
      <c r="H69" s="129"/>
      <c r="J69" s="6"/>
      <c r="K69" s="137"/>
      <c r="L69" s="137"/>
      <c r="M69" s="137"/>
    </row>
    <row r="70" spans="4:13" x14ac:dyDescent="0.25">
      <c r="D70" s="135">
        <v>4</v>
      </c>
      <c r="E70" s="136">
        <f t="shared" si="2"/>
        <v>77.9408309456241</v>
      </c>
      <c r="F70" s="136">
        <f t="shared" si="2"/>
        <v>124.705329512999</v>
      </c>
      <c r="G70" s="136">
        <f t="shared" si="2"/>
        <v>233.82249283687199</v>
      </c>
      <c r="H70" s="129"/>
      <c r="K70" s="137"/>
      <c r="L70" s="137"/>
      <c r="M70" s="137"/>
    </row>
    <row r="71" spans="4:13" x14ac:dyDescent="0.25">
      <c r="D71" s="135"/>
      <c r="E71" s="129"/>
      <c r="F71" s="129"/>
      <c r="G71" s="129"/>
      <c r="H71" s="129"/>
      <c r="I71" s="129"/>
    </row>
    <row r="73" spans="4:13" ht="15.75" thickBot="1" x14ac:dyDescent="0.3">
      <c r="D73" s="124" t="s">
        <v>111</v>
      </c>
      <c r="E73" s="124"/>
      <c r="F73" s="124"/>
      <c r="G73" s="124"/>
      <c r="H73" s="124"/>
      <c r="I73" s="124"/>
      <c r="J73" s="124"/>
      <c r="K73" s="124"/>
      <c r="L73" s="124"/>
      <c r="M73" s="124"/>
    </row>
    <row r="74" spans="4:13" ht="17.25" x14ac:dyDescent="0.3">
      <c r="D74" s="138"/>
      <c r="E74" s="138"/>
    </row>
    <row r="75" spans="4:13" ht="15.75" thickBot="1" x14ac:dyDescent="0.3">
      <c r="D75" s="125" t="s">
        <v>97</v>
      </c>
      <c r="K75" s="125" t="s">
        <v>112</v>
      </c>
      <c r="L75" s="125"/>
    </row>
    <row r="76" spans="4:13" ht="15" customHeight="1" x14ac:dyDescent="0.25"/>
    <row r="77" spans="4:13" x14ac:dyDescent="0.25">
      <c r="D77" s="139" t="s">
        <v>113</v>
      </c>
      <c r="E77" s="140">
        <f>N6/100</f>
        <v>0.14000000000000001</v>
      </c>
      <c r="K77" s="2" t="s">
        <v>114</v>
      </c>
      <c r="L77" s="2" t="s">
        <v>115</v>
      </c>
    </row>
    <row r="78" spans="4:13" x14ac:dyDescent="0.25">
      <c r="D78" s="139" t="s">
        <v>98</v>
      </c>
      <c r="E78" s="127">
        <f>F8</f>
        <v>3.8</v>
      </c>
      <c r="K78" s="141">
        <v>0</v>
      </c>
      <c r="L78" s="142">
        <f t="shared" ref="L78:L141" si="3" xml:space="preserve"> IF((25.778*K78^2 - 9.9549*K78 + 0.956)/$D$85 &gt; $E$80,$E$80,(25.778*K78^2 - 9.9549*K78 + 0.956)/$D$85 )*IF($D$9="liters",1,3.785)</f>
        <v>0.75700000000000012</v>
      </c>
    </row>
    <row r="79" spans="4:13" x14ac:dyDescent="0.25">
      <c r="D79" s="139"/>
      <c r="E79"/>
      <c r="K79" s="141">
        <v>2E-3</v>
      </c>
      <c r="L79" s="142">
        <f t="shared" si="3"/>
        <v>0.75700000000000012</v>
      </c>
    </row>
    <row r="80" spans="4:13" x14ac:dyDescent="0.25">
      <c r="D80" s="139" t="s">
        <v>116</v>
      </c>
      <c r="E80" s="143">
        <v>0.2</v>
      </c>
      <c r="K80" s="141">
        <v>4.0000000000000001E-3</v>
      </c>
      <c r="L80" s="142">
        <f t="shared" si="3"/>
        <v>0.75700000000000012</v>
      </c>
    </row>
    <row r="81" spans="4:12" x14ac:dyDescent="0.25">
      <c r="D81" s="126"/>
      <c r="E81"/>
      <c r="K81" s="141">
        <v>6.0000000000000001E-3</v>
      </c>
      <c r="L81" s="142">
        <f t="shared" si="3"/>
        <v>0.75700000000000012</v>
      </c>
    </row>
    <row r="82" spans="4:12" ht="15.75" thickBot="1" x14ac:dyDescent="0.3">
      <c r="D82" s="125" t="s">
        <v>100</v>
      </c>
      <c r="K82" s="141">
        <v>8.0000000000000002E-3</v>
      </c>
      <c r="L82" s="142">
        <f t="shared" si="3"/>
        <v>0.75700000000000012</v>
      </c>
    </row>
    <row r="83" spans="4:12" ht="15" customHeight="1" x14ac:dyDescent="0.25">
      <c r="K83" s="141">
        <v>0.01</v>
      </c>
      <c r="L83" s="142">
        <f t="shared" si="3"/>
        <v>0.75700000000000012</v>
      </c>
    </row>
    <row r="84" spans="4:12" x14ac:dyDescent="0.25">
      <c r="D84" s="2" t="s">
        <v>117</v>
      </c>
      <c r="K84" s="141">
        <v>1.2E-2</v>
      </c>
      <c r="L84" s="142">
        <f t="shared" si="3"/>
        <v>0.75700000000000012</v>
      </c>
    </row>
    <row r="85" spans="4:12" x14ac:dyDescent="0.25">
      <c r="D85" s="144">
        <f>1-0.0062*EXP(1.9182*E78)/100</f>
        <v>0.90921091164693046</v>
      </c>
      <c r="K85" s="141">
        <v>1.4E-2</v>
      </c>
      <c r="L85" s="142">
        <f t="shared" si="3"/>
        <v>0.75700000000000012</v>
      </c>
    </row>
    <row r="86" spans="4:12" x14ac:dyDescent="0.25">
      <c r="K86" s="141">
        <v>1.6E-2</v>
      </c>
      <c r="L86" s="142">
        <f t="shared" si="3"/>
        <v>0.75700000000000012</v>
      </c>
    </row>
    <row r="87" spans="4:12" x14ac:dyDescent="0.25">
      <c r="D87" s="2" t="s">
        <v>118</v>
      </c>
      <c r="G87" s="2" t="s">
        <v>119</v>
      </c>
      <c r="K87" s="141">
        <v>1.7999999999999999E-2</v>
      </c>
      <c r="L87" s="142">
        <f t="shared" si="3"/>
        <v>0.75700000000000012</v>
      </c>
    </row>
    <row r="88" spans="4:12" x14ac:dyDescent="0.25">
      <c r="D88" s="145">
        <f xml:space="preserve"> IF((25.778*E77^2 - 9.9549*E77 + 0.956)/$D$85 &gt; E80,E80,(25.778*E77^2 - 9.9549*E77 + 0.956)/$D$85 )*IF($D$9="liters",1,3.785)</f>
        <v>0.28126059061123965</v>
      </c>
      <c r="G88" s="146" t="str">
        <f>"K-Sorbate (g/"&amp;D9&amp;")"</f>
        <v>K-Sorbate (g/gallons (US))</v>
      </c>
      <c r="K88" s="141">
        <v>0.02</v>
      </c>
      <c r="L88" s="142">
        <f t="shared" si="3"/>
        <v>0.75700000000000012</v>
      </c>
    </row>
    <row r="89" spans="4:12" x14ac:dyDescent="0.25">
      <c r="G89" s="146"/>
      <c r="K89" s="141">
        <v>2.1999999999999999E-2</v>
      </c>
      <c r="L89" s="142">
        <f t="shared" si="3"/>
        <v>0.75700000000000012</v>
      </c>
    </row>
    <row r="90" spans="4:12" x14ac:dyDescent="0.25">
      <c r="D90" s="2" t="s">
        <v>120</v>
      </c>
      <c r="G90" s="146"/>
      <c r="K90" s="141">
        <v>2.4E-2</v>
      </c>
      <c r="L90" s="142">
        <f t="shared" si="3"/>
        <v>0.75700000000000012</v>
      </c>
    </row>
    <row r="91" spans="4:12" x14ac:dyDescent="0.25">
      <c r="D91" s="147">
        <f>D88*D8/IF(N10="grams",1,2.5)</f>
        <v>1.4063029530561981</v>
      </c>
      <c r="G91" s="146"/>
      <c r="K91" s="141">
        <v>2.5999999999999999E-2</v>
      </c>
      <c r="L91" s="142">
        <f t="shared" si="3"/>
        <v>0.75700000000000012</v>
      </c>
    </row>
    <row r="92" spans="4:12" x14ac:dyDescent="0.25">
      <c r="K92" s="141">
        <v>2.8000000000000001E-2</v>
      </c>
      <c r="L92" s="142">
        <f t="shared" si="3"/>
        <v>0.75700000000000012</v>
      </c>
    </row>
    <row r="93" spans="4:12" x14ac:dyDescent="0.25">
      <c r="D93" s="2" t="s">
        <v>121</v>
      </c>
      <c r="K93" s="141">
        <v>0.03</v>
      </c>
      <c r="L93" s="142">
        <f t="shared" si="3"/>
        <v>0.75700000000000012</v>
      </c>
    </row>
    <row r="94" spans="4:12" x14ac:dyDescent="0.25">
      <c r="D94" s="148" t="s">
        <v>114</v>
      </c>
      <c r="E94" s="149" t="s">
        <v>122</v>
      </c>
      <c r="K94" s="141">
        <v>3.2000000000000001E-2</v>
      </c>
      <c r="L94" s="142">
        <f t="shared" si="3"/>
        <v>0.75700000000000012</v>
      </c>
    </row>
    <row r="95" spans="4:12" x14ac:dyDescent="0.25">
      <c r="D95" s="150">
        <v>0.08</v>
      </c>
      <c r="E95" s="129">
        <v>0.2</v>
      </c>
      <c r="K95" s="141">
        <v>3.4000000000000002E-2</v>
      </c>
      <c r="L95" s="142">
        <f t="shared" si="3"/>
        <v>0.75700000000000012</v>
      </c>
    </row>
    <row r="96" spans="4:12" x14ac:dyDescent="0.25">
      <c r="D96" s="150">
        <v>0.09</v>
      </c>
      <c r="E96" s="129">
        <v>0.2</v>
      </c>
      <c r="F96" s="151"/>
      <c r="G96" s="151"/>
      <c r="K96" s="141">
        <v>3.5999999999999997E-2</v>
      </c>
      <c r="L96" s="142">
        <f t="shared" si="3"/>
        <v>0.75700000000000012</v>
      </c>
    </row>
    <row r="97" spans="4:12" x14ac:dyDescent="0.25">
      <c r="D97" s="152">
        <v>0.104</v>
      </c>
      <c r="E97" s="153">
        <v>0.2</v>
      </c>
      <c r="F97" s="2" t="s">
        <v>123</v>
      </c>
      <c r="K97" s="141">
        <v>3.7999999999999999E-2</v>
      </c>
      <c r="L97" s="142">
        <f t="shared" si="3"/>
        <v>0.75700000000000012</v>
      </c>
    </row>
    <row r="98" spans="4:12" x14ac:dyDescent="0.25">
      <c r="D98" s="154">
        <v>0.11</v>
      </c>
      <c r="E98" s="155">
        <v>0.17</v>
      </c>
      <c r="K98" s="141">
        <v>0.04</v>
      </c>
      <c r="L98" s="142">
        <f t="shared" si="3"/>
        <v>0.75700000000000012</v>
      </c>
    </row>
    <row r="99" spans="4:12" x14ac:dyDescent="0.25">
      <c r="D99" s="154">
        <v>0.12</v>
      </c>
      <c r="E99" s="155">
        <v>0.13500000000000001</v>
      </c>
      <c r="F99" s="2" t="s">
        <v>124</v>
      </c>
      <c r="K99" s="141">
        <v>4.2000000000000003E-2</v>
      </c>
      <c r="L99" s="142">
        <f t="shared" si="3"/>
        <v>0.75700000000000012</v>
      </c>
    </row>
    <row r="100" spans="4:12" x14ac:dyDescent="0.25">
      <c r="D100" s="154">
        <v>0.13</v>
      </c>
      <c r="E100" s="155">
        <v>0.1</v>
      </c>
      <c r="H100" s="156"/>
      <c r="K100" s="141">
        <v>4.3999999999999997E-2</v>
      </c>
      <c r="L100" s="142">
        <f t="shared" si="3"/>
        <v>0.75700000000000012</v>
      </c>
    </row>
    <row r="101" spans="4:12" x14ac:dyDescent="0.25">
      <c r="D101" s="157">
        <v>0.14000000000000001</v>
      </c>
      <c r="E101" s="158">
        <v>6.5000000000000002E-2</v>
      </c>
      <c r="H101" s="156"/>
      <c r="K101" s="141">
        <v>4.5999999999999999E-2</v>
      </c>
      <c r="L101" s="142">
        <f t="shared" si="3"/>
        <v>0.75700000000000012</v>
      </c>
    </row>
    <row r="102" spans="4:12" x14ac:dyDescent="0.25">
      <c r="D102" s="159">
        <v>0.15</v>
      </c>
      <c r="E102" s="129">
        <f>E101/1.5</f>
        <v>4.3333333333333335E-2</v>
      </c>
      <c r="F102" s="2" t="s">
        <v>125</v>
      </c>
      <c r="H102" s="156"/>
      <c r="K102" s="141">
        <v>4.8000000000000001E-2</v>
      </c>
      <c r="L102" s="142">
        <f t="shared" si="3"/>
        <v>0.75700000000000012</v>
      </c>
    </row>
    <row r="103" spans="4:12" x14ac:dyDescent="0.25">
      <c r="D103" s="159">
        <v>0.16</v>
      </c>
      <c r="E103" s="129">
        <f>E102/2</f>
        <v>2.1666666666666667E-2</v>
      </c>
      <c r="H103" s="156"/>
      <c r="K103" s="141">
        <v>0.05</v>
      </c>
      <c r="L103" s="142">
        <f t="shared" si="3"/>
        <v>0.75700000000000012</v>
      </c>
    </row>
    <row r="104" spans="4:12" x14ac:dyDescent="0.25">
      <c r="D104" s="159">
        <v>0.17</v>
      </c>
      <c r="E104" s="129">
        <f>E103/2.5</f>
        <v>8.6666666666666663E-3</v>
      </c>
      <c r="K104" s="141">
        <v>5.1999999999999998E-2</v>
      </c>
      <c r="L104" s="142">
        <f t="shared" si="3"/>
        <v>0.75700000000000012</v>
      </c>
    </row>
    <row r="105" spans="4:12" x14ac:dyDescent="0.25">
      <c r="D105" s="159">
        <v>0.18</v>
      </c>
      <c r="E105" s="129">
        <v>0</v>
      </c>
      <c r="K105" s="141">
        <v>5.3999999999999999E-2</v>
      </c>
      <c r="L105" s="142">
        <f t="shared" si="3"/>
        <v>0.75700000000000012</v>
      </c>
    </row>
    <row r="106" spans="4:12" x14ac:dyDescent="0.25">
      <c r="K106" s="141">
        <v>5.6000000000000001E-2</v>
      </c>
      <c r="L106" s="142">
        <f t="shared" si="3"/>
        <v>0.75700000000000012</v>
      </c>
    </row>
    <row r="107" spans="4:12" x14ac:dyDescent="0.25">
      <c r="D107" s="2" t="s">
        <v>126</v>
      </c>
      <c r="K107" s="141">
        <v>5.8000000000000003E-2</v>
      </c>
      <c r="L107" s="142">
        <f t="shared" si="3"/>
        <v>0.75700000000000012</v>
      </c>
    </row>
    <row r="108" spans="4:12" x14ac:dyDescent="0.25">
      <c r="D108" s="2" t="s">
        <v>98</v>
      </c>
      <c r="E108" s="2" t="s">
        <v>127</v>
      </c>
      <c r="K108" s="141">
        <v>0.06</v>
      </c>
      <c r="L108" s="142">
        <f t="shared" si="3"/>
        <v>0.75700000000000012</v>
      </c>
    </row>
    <row r="109" spans="4:12" x14ac:dyDescent="0.25">
      <c r="D109">
        <v>3</v>
      </c>
      <c r="E109">
        <v>98</v>
      </c>
      <c r="K109" s="141">
        <v>6.2E-2</v>
      </c>
      <c r="L109" s="142">
        <f t="shared" si="3"/>
        <v>0.75700000000000012</v>
      </c>
    </row>
    <row r="110" spans="4:12" x14ac:dyDescent="0.25">
      <c r="D110">
        <v>3.7</v>
      </c>
      <c r="E110">
        <v>93</v>
      </c>
      <c r="K110" s="141">
        <v>6.4000000000000001E-2</v>
      </c>
      <c r="L110" s="142">
        <f t="shared" si="3"/>
        <v>0.75700000000000012</v>
      </c>
    </row>
    <row r="111" spans="4:12" x14ac:dyDescent="0.25">
      <c r="D111">
        <v>4</v>
      </c>
      <c r="E111">
        <v>86</v>
      </c>
      <c r="K111" s="141">
        <v>6.6000000000000003E-2</v>
      </c>
      <c r="L111" s="142">
        <f t="shared" si="3"/>
        <v>0.75700000000000012</v>
      </c>
    </row>
    <row r="112" spans="4:12" x14ac:dyDescent="0.25">
      <c r="K112" s="141">
        <v>6.8000000000000005E-2</v>
      </c>
      <c r="L112" s="142">
        <f t="shared" si="3"/>
        <v>0.75700000000000012</v>
      </c>
    </row>
    <row r="113" spans="11:12" x14ac:dyDescent="0.25">
      <c r="K113" s="141">
        <v>7.0000000000000007E-2</v>
      </c>
      <c r="L113" s="142">
        <f t="shared" si="3"/>
        <v>0.75700000000000012</v>
      </c>
    </row>
    <row r="114" spans="11:12" x14ac:dyDescent="0.25">
      <c r="K114" s="141">
        <v>7.1999999999999995E-2</v>
      </c>
      <c r="L114" s="142">
        <f t="shared" si="3"/>
        <v>0.75700000000000012</v>
      </c>
    </row>
    <row r="115" spans="11:12" x14ac:dyDescent="0.25">
      <c r="K115" s="141">
        <v>7.3999999999999996E-2</v>
      </c>
      <c r="L115" s="142">
        <f t="shared" si="3"/>
        <v>0.75700000000000012</v>
      </c>
    </row>
    <row r="116" spans="11:12" x14ac:dyDescent="0.25">
      <c r="K116" s="141">
        <v>7.5999999999999998E-2</v>
      </c>
      <c r="L116" s="142">
        <f t="shared" si="3"/>
        <v>0.75700000000000012</v>
      </c>
    </row>
    <row r="117" spans="11:12" x14ac:dyDescent="0.25">
      <c r="K117" s="141">
        <v>7.8E-2</v>
      </c>
      <c r="L117" s="142">
        <f t="shared" si="3"/>
        <v>0.75700000000000012</v>
      </c>
    </row>
    <row r="118" spans="11:12" x14ac:dyDescent="0.25">
      <c r="K118" s="141">
        <v>0.08</v>
      </c>
      <c r="L118" s="142">
        <f t="shared" si="3"/>
        <v>0.75700000000000012</v>
      </c>
    </row>
    <row r="119" spans="11:12" x14ac:dyDescent="0.25">
      <c r="K119" s="141">
        <v>8.2000000000000003E-2</v>
      </c>
      <c r="L119" s="142">
        <f t="shared" si="3"/>
        <v>0.75700000000000012</v>
      </c>
    </row>
    <row r="120" spans="11:12" x14ac:dyDescent="0.25">
      <c r="K120" s="141">
        <v>8.4000000000000005E-2</v>
      </c>
      <c r="L120" s="142">
        <f t="shared" si="3"/>
        <v>0.75700000000000012</v>
      </c>
    </row>
    <row r="121" spans="11:12" x14ac:dyDescent="0.25">
      <c r="K121" s="141">
        <v>8.5999999999999993E-2</v>
      </c>
      <c r="L121" s="142">
        <f t="shared" si="3"/>
        <v>0.75700000000000012</v>
      </c>
    </row>
    <row r="122" spans="11:12" x14ac:dyDescent="0.25">
      <c r="K122" s="141">
        <v>8.7999999999999995E-2</v>
      </c>
      <c r="L122" s="142">
        <f t="shared" si="3"/>
        <v>0.75700000000000012</v>
      </c>
    </row>
    <row r="123" spans="11:12" x14ac:dyDescent="0.25">
      <c r="K123" s="141">
        <v>0.09</v>
      </c>
      <c r="L123" s="142">
        <f t="shared" si="3"/>
        <v>0.75700000000000012</v>
      </c>
    </row>
    <row r="124" spans="11:12" x14ac:dyDescent="0.25">
      <c r="K124" s="141">
        <v>9.1999999999999998E-2</v>
      </c>
      <c r="L124" s="142">
        <f t="shared" si="3"/>
        <v>0.75700000000000012</v>
      </c>
    </row>
    <row r="125" spans="11:12" x14ac:dyDescent="0.25">
      <c r="K125" s="141">
        <v>9.4E-2</v>
      </c>
      <c r="L125" s="142">
        <f t="shared" si="3"/>
        <v>0.75700000000000012</v>
      </c>
    </row>
    <row r="126" spans="11:12" x14ac:dyDescent="0.25">
      <c r="K126" s="141">
        <v>9.6000000000000002E-2</v>
      </c>
      <c r="L126" s="142">
        <f t="shared" si="3"/>
        <v>0.75700000000000012</v>
      </c>
    </row>
    <row r="127" spans="11:12" x14ac:dyDescent="0.25">
      <c r="K127" s="141">
        <v>9.8000000000000004E-2</v>
      </c>
      <c r="L127" s="142">
        <f t="shared" si="3"/>
        <v>0.75700000000000012</v>
      </c>
    </row>
    <row r="128" spans="11:12" x14ac:dyDescent="0.25">
      <c r="K128" s="141">
        <v>0.1</v>
      </c>
      <c r="L128" s="142">
        <f t="shared" si="3"/>
        <v>0.75700000000000012</v>
      </c>
    </row>
    <row r="129" spans="11:12" x14ac:dyDescent="0.25">
      <c r="K129" s="141">
        <v>0.10199999999999999</v>
      </c>
      <c r="L129" s="142">
        <f t="shared" si="3"/>
        <v>0.75700000000000012</v>
      </c>
    </row>
    <row r="130" spans="11:12" x14ac:dyDescent="0.25">
      <c r="K130" s="141">
        <v>0.104</v>
      </c>
      <c r="L130" s="142">
        <f t="shared" si="3"/>
        <v>0.75700000000000012</v>
      </c>
    </row>
    <row r="131" spans="11:12" x14ac:dyDescent="0.25">
      <c r="K131" s="141">
        <v>0.106</v>
      </c>
      <c r="L131" s="142">
        <f t="shared" si="3"/>
        <v>0.75700000000000012</v>
      </c>
    </row>
    <row r="132" spans="11:12" x14ac:dyDescent="0.25">
      <c r="K132" s="141">
        <v>0.108</v>
      </c>
      <c r="L132" s="142">
        <f t="shared" si="3"/>
        <v>0.75576447655616885</v>
      </c>
    </row>
    <row r="133" spans="11:12" x14ac:dyDescent="0.25">
      <c r="K133" s="141">
        <v>0.11</v>
      </c>
      <c r="L133" s="142">
        <f t="shared" si="3"/>
        <v>0.71966923143801043</v>
      </c>
    </row>
    <row r="134" spans="11:12" x14ac:dyDescent="0.25">
      <c r="K134" s="141">
        <v>0.112</v>
      </c>
      <c r="L134" s="142">
        <f t="shared" si="3"/>
        <v>0.68443248661939948</v>
      </c>
    </row>
    <row r="135" spans="11:12" x14ac:dyDescent="0.25">
      <c r="K135" s="141">
        <v>0.114</v>
      </c>
      <c r="L135" s="142">
        <f t="shared" si="3"/>
        <v>0.65005424210033469</v>
      </c>
    </row>
    <row r="136" spans="11:12" x14ac:dyDescent="0.25">
      <c r="K136" s="141">
        <v>0.11600000000000001</v>
      </c>
      <c r="L136" s="142">
        <f t="shared" si="3"/>
        <v>0.61653449788081649</v>
      </c>
    </row>
    <row r="137" spans="11:12" x14ac:dyDescent="0.25">
      <c r="K137" s="141">
        <v>0.11799999999999999</v>
      </c>
      <c r="L137" s="142">
        <f t="shared" si="3"/>
        <v>0.58387325396084533</v>
      </c>
    </row>
    <row r="138" spans="11:12" x14ac:dyDescent="0.25">
      <c r="K138" s="141">
        <v>0.12</v>
      </c>
      <c r="L138" s="142">
        <f t="shared" si="3"/>
        <v>0.55207051034042043</v>
      </c>
    </row>
    <row r="139" spans="11:12" x14ac:dyDescent="0.25">
      <c r="K139" s="141">
        <v>0.122</v>
      </c>
      <c r="L139" s="142">
        <f t="shared" si="3"/>
        <v>0.52112626701954234</v>
      </c>
    </row>
    <row r="140" spans="11:12" x14ac:dyDescent="0.25">
      <c r="K140" s="141">
        <v>0.124</v>
      </c>
      <c r="L140" s="142">
        <f t="shared" si="3"/>
        <v>0.49104052399821102</v>
      </c>
    </row>
    <row r="141" spans="11:12" x14ac:dyDescent="0.25">
      <c r="K141" s="141">
        <v>0.126</v>
      </c>
      <c r="L141" s="142">
        <f t="shared" si="3"/>
        <v>0.46181328127642562</v>
      </c>
    </row>
    <row r="142" spans="11:12" x14ac:dyDescent="0.25">
      <c r="K142" s="141">
        <v>0.128</v>
      </c>
      <c r="L142" s="142">
        <f t="shared" ref="L142:L181" si="4" xml:space="preserve"> IF((25.778*K142^2 - 9.9549*K142 + 0.956)/$D$85 &gt; $E$80,$E$80,(25.778*K142^2 - 9.9549*K142 + 0.956)/$D$85 )*IF($D$9="liters",1,3.785)</f>
        <v>0.43344453885418754</v>
      </c>
    </row>
    <row r="143" spans="11:12" x14ac:dyDescent="0.25">
      <c r="K143" s="141">
        <v>0.13</v>
      </c>
      <c r="L143" s="142">
        <f t="shared" si="4"/>
        <v>0.40593429673149667</v>
      </c>
    </row>
    <row r="144" spans="11:12" x14ac:dyDescent="0.25">
      <c r="K144" s="141">
        <v>0.13200000000000001</v>
      </c>
      <c r="L144" s="142">
        <f t="shared" si="4"/>
        <v>0.37928255490835172</v>
      </c>
    </row>
    <row r="145" spans="11:12" x14ac:dyDescent="0.25">
      <c r="K145" s="141">
        <v>0.13400000000000001</v>
      </c>
      <c r="L145" s="142">
        <f t="shared" si="4"/>
        <v>0.35348931338475403</v>
      </c>
    </row>
    <row r="146" spans="11:12" x14ac:dyDescent="0.25">
      <c r="K146" s="141">
        <v>0.13600000000000001</v>
      </c>
      <c r="L146" s="142">
        <f t="shared" si="4"/>
        <v>0.32855457216070233</v>
      </c>
    </row>
    <row r="147" spans="11:12" x14ac:dyDescent="0.25">
      <c r="K147" s="141">
        <v>0.13800000000000001</v>
      </c>
      <c r="L147" s="142">
        <f t="shared" si="4"/>
        <v>0.30447833123619733</v>
      </c>
    </row>
    <row r="148" spans="11:12" x14ac:dyDescent="0.25">
      <c r="K148" s="141">
        <v>0.14000000000000001</v>
      </c>
      <c r="L148" s="142">
        <f t="shared" si="4"/>
        <v>0.28126059061123965</v>
      </c>
    </row>
    <row r="149" spans="11:12" x14ac:dyDescent="0.25">
      <c r="K149" s="141">
        <v>0.14199999999999999</v>
      </c>
      <c r="L149" s="142">
        <f t="shared" si="4"/>
        <v>0.25890135028582878</v>
      </c>
    </row>
    <row r="150" spans="11:12" x14ac:dyDescent="0.25">
      <c r="K150" s="141">
        <v>0.14399999999999999</v>
      </c>
      <c r="L150" s="142">
        <f t="shared" si="4"/>
        <v>0.23740061025996428</v>
      </c>
    </row>
    <row r="151" spans="11:12" x14ac:dyDescent="0.25">
      <c r="K151" s="141">
        <v>0.14599999999999999</v>
      </c>
      <c r="L151" s="142">
        <f t="shared" si="4"/>
        <v>0.21675837053364658</v>
      </c>
    </row>
    <row r="152" spans="11:12" x14ac:dyDescent="0.25">
      <c r="K152" s="141">
        <v>0.14799999999999999</v>
      </c>
      <c r="L152" s="142">
        <f t="shared" si="4"/>
        <v>0.19697463110687524</v>
      </c>
    </row>
    <row r="153" spans="11:12" x14ac:dyDescent="0.25">
      <c r="K153" s="141">
        <v>0.15</v>
      </c>
      <c r="L153" s="142">
        <f t="shared" si="4"/>
        <v>0.17804939197965028</v>
      </c>
    </row>
    <row r="154" spans="11:12" x14ac:dyDescent="0.25">
      <c r="K154" s="141">
        <v>0.152</v>
      </c>
      <c r="L154" s="142">
        <f t="shared" si="4"/>
        <v>0.15998265315197255</v>
      </c>
    </row>
    <row r="155" spans="11:12" x14ac:dyDescent="0.25">
      <c r="K155" s="141">
        <v>0.154</v>
      </c>
      <c r="L155" s="142">
        <f t="shared" si="4"/>
        <v>0.14277441462384119</v>
      </c>
    </row>
    <row r="156" spans="11:12" x14ac:dyDescent="0.25">
      <c r="K156" s="141">
        <v>0.156</v>
      </c>
      <c r="L156" s="142">
        <f t="shared" si="4"/>
        <v>0.12642467639525667</v>
      </c>
    </row>
    <row r="157" spans="11:12" x14ac:dyDescent="0.25">
      <c r="K157" s="141">
        <v>0.158</v>
      </c>
      <c r="L157" s="142">
        <f t="shared" si="4"/>
        <v>0.11093343846621895</v>
      </c>
    </row>
    <row r="158" spans="11:12" x14ac:dyDescent="0.25">
      <c r="K158" s="141">
        <v>0.16</v>
      </c>
      <c r="L158" s="142">
        <f t="shared" si="4"/>
        <v>9.6300700836728051E-2</v>
      </c>
    </row>
    <row r="159" spans="11:12" x14ac:dyDescent="0.25">
      <c r="K159" s="141">
        <v>0.16200000000000001</v>
      </c>
      <c r="L159" s="142">
        <f t="shared" si="4"/>
        <v>8.2526463506782569E-2</v>
      </c>
    </row>
    <row r="160" spans="11:12" x14ac:dyDescent="0.25">
      <c r="K160" s="141">
        <v>0.16400000000000001</v>
      </c>
      <c r="L160" s="142">
        <f t="shared" si="4"/>
        <v>6.9610726476385304E-2</v>
      </c>
    </row>
    <row r="161" spans="11:12" x14ac:dyDescent="0.25">
      <c r="K161" s="141">
        <v>0.16600000000000001</v>
      </c>
      <c r="L161" s="142">
        <f t="shared" si="4"/>
        <v>5.7553489745534384E-2</v>
      </c>
    </row>
    <row r="162" spans="11:12" x14ac:dyDescent="0.25">
      <c r="K162" s="141">
        <v>0.16800000000000001</v>
      </c>
      <c r="L162" s="142">
        <f t="shared" si="4"/>
        <v>4.6354753314229814E-2</v>
      </c>
    </row>
    <row r="163" spans="11:12" x14ac:dyDescent="0.25">
      <c r="K163" s="141">
        <v>0.17</v>
      </c>
      <c r="L163" s="142">
        <f t="shared" si="4"/>
        <v>3.6014517182472526E-2</v>
      </c>
    </row>
    <row r="164" spans="11:12" x14ac:dyDescent="0.25">
      <c r="K164" s="141">
        <v>0.17199999999999999</v>
      </c>
      <c r="L164" s="142">
        <f t="shared" si="4"/>
        <v>2.6532781350261592E-2</v>
      </c>
    </row>
    <row r="165" spans="11:12" x14ac:dyDescent="0.25">
      <c r="K165" s="141">
        <v>0.17399999999999999</v>
      </c>
      <c r="L165" s="142">
        <f t="shared" si="4"/>
        <v>1.7909545817596552E-2</v>
      </c>
    </row>
    <row r="166" spans="11:12" x14ac:dyDescent="0.25">
      <c r="K166" s="141">
        <v>0.17599999999999999</v>
      </c>
      <c r="L166" s="142">
        <f t="shared" si="4"/>
        <v>1.0144810584478789E-2</v>
      </c>
    </row>
    <row r="167" spans="11:12" x14ac:dyDescent="0.25">
      <c r="K167" s="141">
        <v>0.17799999999999999</v>
      </c>
      <c r="L167" s="142">
        <f t="shared" si="4"/>
        <v>3.2385756509078403E-3</v>
      </c>
    </row>
    <row r="168" spans="11:12" x14ac:dyDescent="0.25">
      <c r="K168" s="141">
        <v>0.18</v>
      </c>
      <c r="L168" s="142">
        <f t="shared" si="4"/>
        <v>-2.8091589831162915E-3</v>
      </c>
    </row>
    <row r="169" spans="11:12" x14ac:dyDescent="0.25">
      <c r="K169" s="141">
        <v>0.182</v>
      </c>
      <c r="L169" s="142">
        <f t="shared" si="4"/>
        <v>-7.9983933175936071E-3</v>
      </c>
    </row>
    <row r="170" spans="11:12" x14ac:dyDescent="0.25">
      <c r="K170" s="141">
        <v>0.184</v>
      </c>
      <c r="L170" s="142">
        <f t="shared" si="4"/>
        <v>-1.232912735252503E-2</v>
      </c>
    </row>
    <row r="171" spans="11:12" x14ac:dyDescent="0.25">
      <c r="K171" s="141">
        <v>0.186</v>
      </c>
      <c r="L171" s="142">
        <f t="shared" si="4"/>
        <v>-1.5801361087909638E-2</v>
      </c>
    </row>
    <row r="172" spans="11:12" x14ac:dyDescent="0.25">
      <c r="K172" s="141">
        <v>0.188</v>
      </c>
      <c r="L172" s="142">
        <f t="shared" si="4"/>
        <v>-1.8415094523747431E-2</v>
      </c>
    </row>
    <row r="173" spans="11:12" x14ac:dyDescent="0.25">
      <c r="K173" s="141">
        <v>0.19</v>
      </c>
      <c r="L173" s="142">
        <f t="shared" si="4"/>
        <v>-2.0170327660038408E-2</v>
      </c>
    </row>
    <row r="174" spans="11:12" x14ac:dyDescent="0.25">
      <c r="K174" s="141">
        <v>0.192</v>
      </c>
      <c r="L174" s="142">
        <f t="shared" si="4"/>
        <v>-2.1067060496782107E-2</v>
      </c>
    </row>
    <row r="175" spans="11:12" x14ac:dyDescent="0.25">
      <c r="K175" s="141">
        <v>0.19400000000000001</v>
      </c>
      <c r="L175" s="142">
        <f t="shared" si="4"/>
        <v>-2.1105293033979452E-2</v>
      </c>
    </row>
    <row r="176" spans="11:12" x14ac:dyDescent="0.25">
      <c r="K176" s="141">
        <v>0.19600000000000001</v>
      </c>
      <c r="L176" s="142">
        <f t="shared" si="4"/>
        <v>-2.02850252716309E-2</v>
      </c>
    </row>
    <row r="177" spans="11:12" x14ac:dyDescent="0.25">
      <c r="K177" s="141">
        <v>0.19800000000000001</v>
      </c>
      <c r="L177" s="142">
        <f t="shared" si="4"/>
        <v>-1.8606257209735539E-2</v>
      </c>
    </row>
    <row r="178" spans="11:12" x14ac:dyDescent="0.25">
      <c r="K178" s="141">
        <v>0.2</v>
      </c>
      <c r="L178" s="142">
        <f t="shared" si="4"/>
        <v>-1.6068988848291974E-2</v>
      </c>
    </row>
    <row r="179" spans="11:12" x14ac:dyDescent="0.25">
      <c r="K179" s="141">
        <v>0.20200000000000001</v>
      </c>
      <c r="L179" s="142">
        <f t="shared" si="4"/>
        <v>-1.2673220187303439E-2</v>
      </c>
    </row>
    <row r="180" spans="11:12" x14ac:dyDescent="0.25">
      <c r="K180" s="141">
        <v>0.20399999999999999</v>
      </c>
      <c r="L180" s="142">
        <f t="shared" si="4"/>
        <v>-8.4189512267680913E-3</v>
      </c>
    </row>
    <row r="181" spans="11:12" x14ac:dyDescent="0.25">
      <c r="K181" s="141">
        <v>0.20599999999999999</v>
      </c>
      <c r="L181" s="142">
        <f t="shared" si="4"/>
        <v>-3.3061819666859262E-3</v>
      </c>
    </row>
  </sheetData>
  <sheetProtection sheet="1" selectLockedCells="1"/>
  <mergeCells count="4">
    <mergeCell ref="B2:P2"/>
    <mergeCell ref="D40:E40"/>
    <mergeCell ref="D42:M42"/>
    <mergeCell ref="D73:M73"/>
  </mergeCells>
  <dataValidations count="6">
    <dataValidation type="list" allowBlank="1" showInputMessage="1" showErrorMessage="1" sqref="K9 N10" xr:uid="{0C76E480-036A-4F25-BB96-CD55C85EC6CF}">
      <formula1>"grams, teaspoons"</formula1>
    </dataValidation>
    <dataValidation type="list" allowBlank="1" showInputMessage="1" showErrorMessage="1" sqref="I7" xr:uid="{C9061A9D-56C1-4F33-B590-800374C4DBF6}">
      <formula1>$D$52:$D$54</formula1>
    </dataValidation>
    <dataValidation type="whole" allowBlank="1" showInputMessage="1" showErrorMessage="1" sqref="I10" xr:uid="{4418F4F5-56AF-4C17-85B1-E22D5E35CE07}">
      <formula1>-30</formula1>
      <formula2>50</formula2>
    </dataValidation>
    <dataValidation type="decimal" allowBlank="1" showInputMessage="1" showErrorMessage="1" sqref="F8" xr:uid="{B58E9F39-C34B-4FC8-9BC2-216DDBAE0E3E}">
      <formula1>2.8</formula1>
      <formula2>4</formula2>
    </dataValidation>
    <dataValidation type="list" allowBlank="1" showInputMessage="1" showErrorMessage="1" sqref="D9" xr:uid="{C7FDCF08-234B-4282-9EE0-F0D8EF779D6A}">
      <formula1>"gallons (US), liters"</formula1>
    </dataValidation>
    <dataValidation type="decimal" allowBlank="1" showInputMessage="1" showErrorMessage="1" sqref="N6" xr:uid="{796FB355-1DB2-4442-8BEB-ADF02FD20D7E}">
      <formula1>5</formula1>
      <formula2>18</formula2>
    </dataValidation>
  </dataValidations>
  <hyperlinks>
    <hyperlink ref="D29" r:id="rId1" xr:uid="{16B43FD1-2773-49E1-B217-1E67B8C7F84B}"/>
    <hyperlink ref="D28" r:id="rId2" xr:uid="{0C4778FB-96B4-474C-B6FD-25EC88145BCE}"/>
    <hyperlink ref="D31" r:id="rId3" xr:uid="{87E022D5-723F-4FFE-B08E-4502E0630228}"/>
    <hyperlink ref="D30" r:id="rId4" xr:uid="{9A3DA53F-1092-4FB4-8881-66C0101260BE}"/>
    <hyperlink ref="D32" r:id="rId5" xr:uid="{4A10FAC9-CCBB-4AD3-A5F8-AD846DE03BE5}"/>
    <hyperlink ref="D33" r:id="rId6" xr:uid="{5442F98D-4F38-4764-A1F3-6F2A794D1B6E}"/>
    <hyperlink ref="D34" r:id="rId7" xr:uid="{98EB7EC9-A7F1-46DD-A0B9-FD6EF8B18DA8}"/>
    <hyperlink ref="D35" r:id="rId8" xr:uid="{EE0A3E41-BF20-4C01-AC9D-E7EE1467D7E7}"/>
  </hyperlinks>
  <pageMargins left="0.7" right="0.7" top="0.75" bottom="0.75" header="0.3" footer="0.3"/>
  <pageSetup orientation="landscape" r:id="rId9"/>
  <drawing r:id="rId10"/>
  <legacyDrawing r:id="rId11"/>
  <tableParts count="4">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A0F4-D1F1-48E9-9FD8-AB115B70122E}">
  <sheetPr codeName="Sheet2">
    <tabColor theme="9"/>
  </sheetPr>
  <dimension ref="A2:Q89"/>
  <sheetViews>
    <sheetView showGridLines="0" zoomScaleNormal="100" workbookViewId="0">
      <selection activeCell="E5" sqref="E5"/>
    </sheetView>
  </sheetViews>
  <sheetFormatPr defaultColWidth="9.140625" defaultRowHeight="15" x14ac:dyDescent="0.25"/>
  <cols>
    <col min="1" max="1" width="3.5703125" style="3" customWidth="1"/>
    <col min="2" max="2" width="4" style="3" customWidth="1"/>
    <col min="3" max="3" width="4.140625" style="3" customWidth="1"/>
    <col min="4" max="4" width="19.5703125" style="3" customWidth="1"/>
    <col min="5" max="5" width="14.85546875" style="3" bestFit="1" customWidth="1"/>
    <col min="6" max="6" width="14.7109375" style="3" bestFit="1" customWidth="1"/>
    <col min="7" max="7" width="7.5703125" style="3" customWidth="1"/>
    <col min="8" max="11" width="9.140625" style="3"/>
    <col min="12" max="12" width="9.42578125" style="3" customWidth="1"/>
    <col min="13" max="14" width="10.28515625" style="3" bestFit="1" customWidth="1"/>
    <col min="15" max="15" width="10.140625" style="3" bestFit="1" customWidth="1"/>
    <col min="16" max="16384" width="9.140625" style="3"/>
  </cols>
  <sheetData>
    <row r="2" spans="1:17" ht="30" customHeight="1" thickBot="1" x14ac:dyDescent="0.3">
      <c r="A2" s="2"/>
      <c r="B2" s="86" t="s">
        <v>5</v>
      </c>
      <c r="C2" s="86"/>
      <c r="D2" s="86"/>
      <c r="E2" s="86"/>
      <c r="F2" s="86"/>
      <c r="G2" s="86"/>
      <c r="H2" s="86"/>
      <c r="I2" s="86"/>
      <c r="J2" s="86"/>
      <c r="K2" s="86"/>
      <c r="L2" s="86"/>
      <c r="M2" s="86"/>
      <c r="N2" s="86"/>
      <c r="O2" s="86"/>
      <c r="P2" s="2"/>
      <c r="Q2" s="2"/>
    </row>
    <row r="3" spans="1:17" ht="15" customHeight="1" x14ac:dyDescent="0.3">
      <c r="A3" s="7"/>
      <c r="B3" s="8"/>
      <c r="C3" s="9"/>
      <c r="D3" s="10"/>
      <c r="E3" s="11"/>
      <c r="F3" s="11"/>
      <c r="G3" s="11"/>
      <c r="H3" s="11"/>
      <c r="I3" s="10"/>
      <c r="J3" s="10"/>
      <c r="K3" s="10"/>
      <c r="L3" s="10"/>
      <c r="M3" s="10"/>
      <c r="N3" s="10"/>
      <c r="O3" s="12"/>
    </row>
    <row r="4" spans="1:17" ht="15" customHeight="1" x14ac:dyDescent="0.3">
      <c r="A4" s="7"/>
      <c r="B4" s="13"/>
      <c r="C4" s="14"/>
      <c r="D4" s="15"/>
      <c r="E4" s="16"/>
      <c r="F4" s="16"/>
      <c r="G4" s="17"/>
      <c r="H4" s="18"/>
      <c r="I4" s="4"/>
      <c r="J4" s="4"/>
      <c r="K4" s="4"/>
      <c r="L4" s="4"/>
      <c r="M4" s="4"/>
      <c r="N4" s="4"/>
      <c r="O4" s="19"/>
    </row>
    <row r="5" spans="1:17" ht="15" customHeight="1" x14ac:dyDescent="0.25">
      <c r="B5" s="20"/>
      <c r="C5" s="21"/>
      <c r="D5" s="22" t="s">
        <v>6</v>
      </c>
      <c r="E5" s="23">
        <v>1</v>
      </c>
      <c r="F5" s="24" t="s">
        <v>1</v>
      </c>
      <c r="G5" s="25"/>
      <c r="H5" s="4"/>
      <c r="I5" s="4"/>
      <c r="J5" s="4"/>
      <c r="K5" s="4"/>
      <c r="L5" s="4"/>
      <c r="M5" s="4"/>
      <c r="N5" s="4"/>
      <c r="O5" s="19"/>
    </row>
    <row r="6" spans="1:17" x14ac:dyDescent="0.25">
      <c r="A6" s="6"/>
      <c r="B6" s="20"/>
      <c r="C6" s="21"/>
      <c r="D6" s="22" t="s">
        <v>7</v>
      </c>
      <c r="E6" s="26">
        <v>0.998</v>
      </c>
      <c r="F6" s="24" t="s">
        <v>8</v>
      </c>
      <c r="G6" s="25"/>
      <c r="H6" s="4"/>
      <c r="I6" s="4"/>
      <c r="J6" s="4"/>
      <c r="K6" s="4"/>
      <c r="L6" s="4"/>
      <c r="M6" s="4"/>
      <c r="N6" s="4"/>
      <c r="O6" s="19"/>
    </row>
    <row r="7" spans="1:17" x14ac:dyDescent="0.25">
      <c r="A7" s="27"/>
      <c r="B7" s="28"/>
      <c r="C7" s="29"/>
      <c r="D7" s="22" t="s">
        <v>9</v>
      </c>
      <c r="E7" s="30">
        <v>12.2</v>
      </c>
      <c r="F7" s="24" t="s">
        <v>0</v>
      </c>
      <c r="G7" s="31"/>
      <c r="H7" s="32"/>
      <c r="I7" s="4"/>
      <c r="J7" s="4"/>
      <c r="K7" s="4"/>
      <c r="L7" s="4"/>
      <c r="M7" s="4"/>
      <c r="N7" s="4"/>
      <c r="O7" s="19"/>
    </row>
    <row r="8" spans="1:17" x14ac:dyDescent="0.25">
      <c r="A8" s="27"/>
      <c r="B8" s="28"/>
      <c r="C8" s="29"/>
      <c r="D8" s="22"/>
      <c r="E8" s="33"/>
      <c r="F8" s="34"/>
      <c r="G8" s="25"/>
      <c r="H8" s="32"/>
      <c r="I8" s="4"/>
      <c r="J8" s="4"/>
      <c r="K8" s="4"/>
      <c r="L8" s="4"/>
      <c r="M8" s="4"/>
      <c r="N8" s="4"/>
      <c r="O8" s="19"/>
    </row>
    <row r="9" spans="1:17" x14ac:dyDescent="0.25">
      <c r="A9" s="6"/>
      <c r="B9" s="20"/>
      <c r="C9" s="21"/>
      <c r="D9" s="22" t="s">
        <v>10</v>
      </c>
      <c r="E9" s="30">
        <v>81</v>
      </c>
      <c r="F9" s="24" t="s">
        <v>11</v>
      </c>
      <c r="G9" s="31"/>
      <c r="H9" s="4"/>
      <c r="I9" s="4"/>
      <c r="J9" s="4"/>
      <c r="K9" s="4"/>
      <c r="L9" s="4"/>
      <c r="M9" s="4"/>
      <c r="N9" s="4"/>
      <c r="O9" s="19"/>
    </row>
    <row r="10" spans="1:17" x14ac:dyDescent="0.25">
      <c r="A10" s="27"/>
      <c r="B10" s="28"/>
      <c r="C10" s="29"/>
      <c r="D10" s="22" t="s">
        <v>12</v>
      </c>
      <c r="E10" s="26">
        <v>1.0149999999999999</v>
      </c>
      <c r="F10" s="24" t="s">
        <v>8</v>
      </c>
      <c r="G10" s="31"/>
      <c r="H10" s="32"/>
      <c r="I10" s="4"/>
      <c r="J10" s="4"/>
      <c r="K10" s="4"/>
      <c r="L10" s="4"/>
      <c r="M10" s="4"/>
      <c r="N10" s="4"/>
      <c r="O10" s="19"/>
    </row>
    <row r="11" spans="1:17" x14ac:dyDescent="0.25">
      <c r="A11" s="35"/>
      <c r="B11" s="36"/>
      <c r="C11" s="37"/>
      <c r="D11" s="4"/>
      <c r="E11" s="4"/>
      <c r="F11" s="4"/>
      <c r="G11" s="31"/>
      <c r="H11" s="4"/>
      <c r="I11" s="4"/>
      <c r="J11" s="4"/>
      <c r="K11" s="4"/>
      <c r="L11" s="4"/>
      <c r="M11" s="4"/>
      <c r="N11" s="4"/>
      <c r="O11" s="19"/>
    </row>
    <row r="12" spans="1:17" s="6" customFormat="1" x14ac:dyDescent="0.25">
      <c r="B12" s="20"/>
      <c r="C12" s="21"/>
      <c r="D12" s="4"/>
      <c r="E12" s="4"/>
      <c r="F12" s="4"/>
      <c r="G12" s="31"/>
      <c r="H12" s="4"/>
      <c r="I12" s="4"/>
      <c r="J12" s="4"/>
      <c r="K12" s="4"/>
      <c r="L12" s="4"/>
      <c r="M12" s="4"/>
      <c r="N12" s="4"/>
      <c r="O12" s="19"/>
      <c r="P12" s="3"/>
      <c r="Q12" s="3"/>
    </row>
    <row r="13" spans="1:17" s="6" customFormat="1" x14ac:dyDescent="0.25">
      <c r="B13" s="20"/>
      <c r="C13" s="21"/>
      <c r="D13" s="4"/>
      <c r="E13" s="4"/>
      <c r="F13" s="4"/>
      <c r="G13" s="38"/>
      <c r="H13" s="4"/>
      <c r="I13" s="4"/>
      <c r="J13" s="4"/>
      <c r="K13" s="4"/>
      <c r="L13" s="4"/>
      <c r="M13" s="4"/>
      <c r="N13" s="4"/>
      <c r="O13" s="19"/>
    </row>
    <row r="14" spans="1:17" x14ac:dyDescent="0.25">
      <c r="A14" s="6"/>
      <c r="B14" s="20"/>
      <c r="C14" s="21"/>
      <c r="D14" s="22" t="s">
        <v>13</v>
      </c>
      <c r="E14" s="39">
        <f>VLOOKUP(F14,HoneyAddition[],2,FALSE)</f>
        <v>212.92797027045995</v>
      </c>
      <c r="F14" s="40" t="s">
        <v>2</v>
      </c>
      <c r="G14" s="38"/>
      <c r="H14" s="4"/>
      <c r="I14" s="4"/>
      <c r="J14" s="4"/>
      <c r="K14" s="4"/>
      <c r="L14" s="4"/>
      <c r="M14" s="4"/>
      <c r="N14" s="4"/>
      <c r="O14" s="19"/>
      <c r="P14" s="6"/>
      <c r="Q14" s="6"/>
    </row>
    <row r="15" spans="1:17" x14ac:dyDescent="0.25">
      <c r="A15" s="41"/>
      <c r="B15" s="42"/>
      <c r="C15" s="43"/>
      <c r="D15" s="4"/>
      <c r="E15" s="4"/>
      <c r="F15" s="4"/>
      <c r="G15" s="31"/>
      <c r="H15" s="44"/>
      <c r="I15" s="4"/>
      <c r="J15" s="4"/>
      <c r="K15" s="4"/>
      <c r="L15" s="4"/>
      <c r="M15" s="4"/>
      <c r="N15" s="4"/>
      <c r="O15" s="19"/>
    </row>
    <row r="16" spans="1:17" x14ac:dyDescent="0.25">
      <c r="A16" s="41"/>
      <c r="B16" s="42"/>
      <c r="C16" s="43"/>
      <c r="D16" s="4"/>
      <c r="E16" s="4"/>
      <c r="F16" s="4"/>
      <c r="G16" s="31"/>
      <c r="H16" s="44"/>
      <c r="I16" s="4"/>
      <c r="J16" s="4"/>
      <c r="K16" s="4"/>
      <c r="L16" s="4"/>
      <c r="M16" s="4"/>
      <c r="N16" s="4"/>
      <c r="O16" s="19"/>
    </row>
    <row r="17" spans="1:15" x14ac:dyDescent="0.25">
      <c r="A17" s="45"/>
      <c r="B17" s="46"/>
      <c r="C17" s="47"/>
      <c r="D17" s="22" t="s">
        <v>14</v>
      </c>
      <c r="E17" s="48">
        <f>VLOOKUP(F17,BatchSizeNew[],2,FALSE)</f>
        <v>1.0386695752815787</v>
      </c>
      <c r="F17" s="40" t="s">
        <v>15</v>
      </c>
      <c r="G17" s="31"/>
      <c r="H17" s="4"/>
      <c r="I17" s="4"/>
      <c r="J17" s="4"/>
      <c r="K17" s="4"/>
      <c r="L17" s="4"/>
      <c r="M17" s="4"/>
      <c r="N17" s="49"/>
      <c r="O17" s="19"/>
    </row>
    <row r="18" spans="1:15" x14ac:dyDescent="0.25">
      <c r="A18" s="6"/>
      <c r="B18" s="20"/>
      <c r="C18" s="21"/>
      <c r="D18" s="22" t="s">
        <v>16</v>
      </c>
      <c r="E18" s="50">
        <f>VLOOKUP(F18,AlcoholLevelNew[],2,FALSE)</f>
        <v>11.549067489897903</v>
      </c>
      <c r="F18" s="40" t="s">
        <v>0</v>
      </c>
      <c r="G18" s="31"/>
      <c r="H18" s="4"/>
      <c r="I18" s="4"/>
      <c r="J18" s="4"/>
      <c r="K18" s="4"/>
      <c r="L18" s="4"/>
      <c r="M18" s="4"/>
      <c r="N18" s="49"/>
      <c r="O18" s="19"/>
    </row>
    <row r="19" spans="1:15" x14ac:dyDescent="0.25">
      <c r="A19" s="6"/>
      <c r="B19" s="20"/>
      <c r="C19" s="21"/>
      <c r="D19" s="51" t="s">
        <v>17</v>
      </c>
      <c r="E19" s="52">
        <f>VLOOKUP(F19,HypSweetness[],2,FALSE)</f>
        <v>1.1000008647228814</v>
      </c>
      <c r="F19" s="24" t="s">
        <v>8</v>
      </c>
      <c r="G19" s="31"/>
      <c r="H19" s="4"/>
      <c r="I19" s="4"/>
      <c r="J19" s="4"/>
      <c r="K19" s="4"/>
      <c r="L19" s="4"/>
      <c r="M19" s="4"/>
      <c r="N19" s="49"/>
      <c r="O19" s="19"/>
    </row>
    <row r="20" spans="1:15" x14ac:dyDescent="0.25">
      <c r="A20" s="45"/>
      <c r="B20" s="46"/>
      <c r="C20" s="53"/>
      <c r="D20" s="54"/>
      <c r="E20" s="54"/>
      <c r="F20" s="55"/>
      <c r="G20" s="56"/>
      <c r="H20" s="4"/>
      <c r="I20" s="4"/>
      <c r="J20" s="4"/>
      <c r="K20" s="4"/>
      <c r="L20" s="4"/>
      <c r="M20" s="4"/>
      <c r="N20" s="49"/>
      <c r="O20" s="19"/>
    </row>
    <row r="21" spans="1:15" ht="15.75" thickBot="1" x14ac:dyDescent="0.3">
      <c r="A21" s="6"/>
      <c r="B21" s="57"/>
      <c r="C21" s="58"/>
      <c r="D21" s="58"/>
      <c r="E21" s="58"/>
      <c r="F21" s="58"/>
      <c r="G21" s="58"/>
      <c r="H21" s="58"/>
      <c r="I21" s="58"/>
      <c r="J21" s="58"/>
      <c r="K21" s="58"/>
      <c r="L21" s="58"/>
      <c r="M21" s="58"/>
      <c r="N21" s="58"/>
      <c r="O21" s="59" t="s">
        <v>3</v>
      </c>
    </row>
    <row r="22" spans="1:15" x14ac:dyDescent="0.25">
      <c r="A22" s="6"/>
      <c r="B22" s="6"/>
      <c r="C22" s="6"/>
      <c r="D22" s="6"/>
      <c r="E22" s="6"/>
    </row>
    <row r="23" spans="1:15" x14ac:dyDescent="0.25">
      <c r="A23" s="6"/>
      <c r="B23" s="6"/>
      <c r="C23" s="6"/>
      <c r="D23" s="6"/>
      <c r="E23" s="6"/>
    </row>
    <row r="24" spans="1:15" x14ac:dyDescent="0.25">
      <c r="A24" s="6"/>
      <c r="B24" s="6"/>
      <c r="C24" s="6"/>
      <c r="D24" s="6"/>
      <c r="E24" s="6"/>
    </row>
    <row r="25" spans="1:15" x14ac:dyDescent="0.25">
      <c r="A25" s="6"/>
      <c r="B25" s="6"/>
      <c r="C25" s="6"/>
      <c r="D25" s="6"/>
      <c r="E25" s="6"/>
    </row>
    <row r="26" spans="1:15" ht="20.25" thickBot="1" x14ac:dyDescent="0.35">
      <c r="A26" s="6"/>
      <c r="B26" s="6"/>
      <c r="C26" s="6"/>
      <c r="D26" s="60" t="s">
        <v>4</v>
      </c>
      <c r="E26" s="60"/>
      <c r="F26" s="5"/>
      <c r="G26" s="5"/>
    </row>
    <row r="27" spans="1:15" ht="15.75" thickTop="1" x14ac:dyDescent="0.25">
      <c r="A27" s="6"/>
      <c r="B27" s="6"/>
      <c r="C27" s="6"/>
      <c r="D27" s="6"/>
      <c r="E27" s="6"/>
    </row>
    <row r="28" spans="1:15" x14ac:dyDescent="0.25">
      <c r="A28" s="6"/>
      <c r="B28" s="6"/>
      <c r="C28" s="6"/>
      <c r="D28" s="61" t="s">
        <v>18</v>
      </c>
      <c r="E28" s="6"/>
      <c r="F28" s="6"/>
      <c r="G28" s="6"/>
      <c r="L28" s="45"/>
      <c r="M28" s="45"/>
    </row>
    <row r="29" spans="1:15" x14ac:dyDescent="0.25">
      <c r="A29" s="6"/>
      <c r="B29" s="6"/>
      <c r="C29" s="6"/>
      <c r="D29" s="62" t="s">
        <v>19</v>
      </c>
      <c r="E29" s="6" t="s">
        <v>20</v>
      </c>
      <c r="F29" s="6" t="s">
        <v>21</v>
      </c>
      <c r="G29" s="63" t="s">
        <v>22</v>
      </c>
      <c r="J29" s="64"/>
      <c r="K29" s="45"/>
      <c r="L29" s="65"/>
    </row>
    <row r="30" spans="1:15" x14ac:dyDescent="0.25">
      <c r="A30" s="6"/>
      <c r="B30" s="6"/>
      <c r="C30" s="6"/>
      <c r="D30" s="66" t="s">
        <v>23</v>
      </c>
      <c r="E30" s="66" t="s">
        <v>24</v>
      </c>
      <c r="F30" s="66">
        <f>IF(F6=E30,E6, (((182.4601*E6 -775.6821)*E6 +1262.7794)*E6 -669.5622))</f>
        <v>-0.5233056668809013</v>
      </c>
      <c r="G30" s="66">
        <v>2</v>
      </c>
      <c r="J30" s="64"/>
      <c r="K30" s="64"/>
      <c r="L30" s="45"/>
      <c r="M30" s="45"/>
    </row>
    <row r="31" spans="1:15" x14ac:dyDescent="0.25">
      <c r="A31" s="6"/>
      <c r="B31" s="6"/>
      <c r="C31" s="6"/>
      <c r="D31" s="66" t="s">
        <v>23</v>
      </c>
      <c r="E31" s="66" t="s">
        <v>8</v>
      </c>
      <c r="F31" s="66">
        <f>IF(F6=E31,E6,(1.000019 + 0.003865613*(E6) + 0.00001296425*(E6^2) + 0.00000005701128*(E6^3)))</f>
        <v>0.998</v>
      </c>
      <c r="G31" s="66">
        <v>1</v>
      </c>
      <c r="K31" s="45"/>
      <c r="L31" s="45"/>
      <c r="M31" s="45"/>
    </row>
    <row r="32" spans="1:15" x14ac:dyDescent="0.25">
      <c r="A32" s="6"/>
      <c r="B32" s="6"/>
      <c r="C32" s="6"/>
      <c r="D32" s="66" t="s">
        <v>25</v>
      </c>
      <c r="E32" s="66" t="s">
        <v>2</v>
      </c>
      <c r="F32" s="66">
        <f>IF(F5="grams",E5,
IF(F5="kilograms",CONVERT(E5,"kg","g"),
IF(F5="liters",CONVERT(E5,"l","ml")*F31,
IF(F5="pounds (US)",CONVERT(E5,"lbm","g"),
IF(F5="gallons (US)",CONVERT(E5,"gal","ml")*F31,ERROR.TYPE(#NULL!))))))</f>
        <v>3777.840960432</v>
      </c>
      <c r="G32" s="66" t="s">
        <v>26</v>
      </c>
      <c r="K32" s="45"/>
      <c r="L32" s="45"/>
    </row>
    <row r="33" spans="1:17" x14ac:dyDescent="0.25">
      <c r="A33" s="6"/>
      <c r="B33" s="6"/>
      <c r="C33" s="6"/>
      <c r="D33" s="66" t="s">
        <v>27</v>
      </c>
      <c r="E33" s="66" t="s">
        <v>28</v>
      </c>
      <c r="F33" s="66">
        <f>CONVERT(F32/F31,"ml","l")</f>
        <v>3.7854117839999999</v>
      </c>
      <c r="G33" s="66" t="s">
        <v>26</v>
      </c>
      <c r="I33" s="45"/>
    </row>
    <row r="34" spans="1:17" x14ac:dyDescent="0.25">
      <c r="A34" s="6"/>
      <c r="B34" s="6"/>
      <c r="C34" s="6"/>
      <c r="D34" s="66" t="s">
        <v>10</v>
      </c>
      <c r="E34" s="66" t="s">
        <v>11</v>
      </c>
      <c r="F34" s="66">
        <f>IF(F9=E34,E9, (((182.4601*E9 -775.6821)*E9 +1262.7794)*E9 -669.5622))</f>
        <v>81</v>
      </c>
      <c r="G34" s="66">
        <v>2</v>
      </c>
      <c r="I34" s="6"/>
    </row>
    <row r="35" spans="1:17" x14ac:dyDescent="0.25">
      <c r="A35" s="6"/>
      <c r="B35" s="6"/>
      <c r="C35" s="6"/>
      <c r="D35" s="66" t="s">
        <v>10</v>
      </c>
      <c r="E35" s="66" t="s">
        <v>8</v>
      </c>
      <c r="F35" s="66">
        <f>IF(F9=E35,E9,(0.000017871*E9^2+0.0037544*E9+1))</f>
        <v>1.421358031</v>
      </c>
      <c r="G35" s="66">
        <v>3</v>
      </c>
    </row>
    <row r="36" spans="1:17" x14ac:dyDescent="0.25">
      <c r="A36" s="6"/>
      <c r="B36" s="6"/>
      <c r="C36" s="6"/>
      <c r="D36" s="66" t="s">
        <v>12</v>
      </c>
      <c r="E36" s="66" t="s">
        <v>24</v>
      </c>
      <c r="F36" s="66">
        <f>IF(F10=E36,E10, (((182.4601*E10 -775.6821)*E10 +1262.7794)*E10 -669.5622))</f>
        <v>3.8263803978373971</v>
      </c>
      <c r="G36" s="66">
        <v>2</v>
      </c>
    </row>
    <row r="37" spans="1:17" x14ac:dyDescent="0.25">
      <c r="A37" s="6"/>
      <c r="B37" s="6"/>
      <c r="C37" s="6"/>
      <c r="D37" s="66" t="s">
        <v>12</v>
      </c>
      <c r="E37" s="66" t="s">
        <v>8</v>
      </c>
      <c r="F37" s="66">
        <f>IF(F10=E37,E10,(1.000019 + 0.003865613*(E10) + 0.00001296425*(E10^2) + 0.00000005701128*(E10^3)))</f>
        <v>1.0149999999999999</v>
      </c>
      <c r="G37" s="66">
        <v>1</v>
      </c>
    </row>
    <row r="38" spans="1:17" x14ac:dyDescent="0.25">
      <c r="A38" s="6"/>
      <c r="B38" s="6"/>
      <c r="C38" s="6"/>
      <c r="D38" s="66" t="s">
        <v>29</v>
      </c>
      <c r="E38" s="66" t="s">
        <v>0</v>
      </c>
      <c r="F38" s="66">
        <f>IF(F7=E38,E7,E7/0.794)</f>
        <v>12.2</v>
      </c>
      <c r="G38" s="66" t="s">
        <v>26</v>
      </c>
    </row>
    <row r="39" spans="1:17" s="2" customFormat="1" x14ac:dyDescent="0.25">
      <c r="A39" s="6"/>
      <c r="B39" s="6"/>
      <c r="C39" s="6"/>
      <c r="D39" s="66" t="s">
        <v>29</v>
      </c>
      <c r="E39" s="66" t="s">
        <v>30</v>
      </c>
      <c r="F39" s="66">
        <f>IF(F7=E39,E7,E7*0.794)</f>
        <v>9.6867999999999999</v>
      </c>
      <c r="G39" s="66" t="s">
        <v>26</v>
      </c>
      <c r="H39" s="3"/>
      <c r="I39" s="3"/>
      <c r="J39" s="3"/>
      <c r="K39" s="3"/>
      <c r="N39" s="3"/>
      <c r="O39" s="3"/>
      <c r="P39" s="3"/>
      <c r="Q39" s="3"/>
    </row>
    <row r="40" spans="1:17" s="2" customFormat="1" x14ac:dyDescent="0.25">
      <c r="A40" s="6"/>
      <c r="B40" s="6"/>
      <c r="C40" s="6"/>
      <c r="D40" s="27"/>
      <c r="E40" s="27"/>
      <c r="F40" s="67"/>
      <c r="G40" s="68"/>
      <c r="H40" s="3"/>
      <c r="I40" s="3"/>
      <c r="J40" s="3"/>
      <c r="K40" s="3"/>
      <c r="N40" s="3"/>
      <c r="O40" s="3"/>
      <c r="P40" s="3"/>
      <c r="Q40" s="3"/>
    </row>
    <row r="41" spans="1:17" s="2" customFormat="1" x14ac:dyDescent="0.25">
      <c r="A41" s="6"/>
      <c r="B41" s="6"/>
      <c r="C41" s="27"/>
      <c r="D41" s="69" t="s">
        <v>22</v>
      </c>
      <c r="F41" s="67"/>
      <c r="G41" s="68"/>
      <c r="H41" s="3"/>
      <c r="I41" s="3"/>
      <c r="J41" s="3"/>
      <c r="K41" s="3"/>
      <c r="N41" s="3"/>
      <c r="O41" s="3"/>
      <c r="P41" s="3"/>
      <c r="Q41" s="3"/>
    </row>
    <row r="42" spans="1:17" s="2" customFormat="1" x14ac:dyDescent="0.25">
      <c r="A42" s="6"/>
      <c r="B42" s="6"/>
      <c r="C42" s="66">
        <v>1</v>
      </c>
      <c r="D42" s="3" t="s">
        <v>31</v>
      </c>
      <c r="F42" s="67"/>
      <c r="G42" s="68"/>
      <c r="H42" s="3"/>
      <c r="I42" s="3"/>
      <c r="J42" s="3"/>
      <c r="K42" s="3"/>
      <c r="N42" s="3"/>
      <c r="O42" s="3"/>
      <c r="P42" s="3"/>
      <c r="Q42" s="3"/>
    </row>
    <row r="43" spans="1:17" s="2" customFormat="1" x14ac:dyDescent="0.25">
      <c r="A43" s="6"/>
      <c r="B43" s="6"/>
      <c r="C43" s="66">
        <v>2</v>
      </c>
      <c r="D43" s="3" t="s">
        <v>32</v>
      </c>
      <c r="F43" s="67"/>
      <c r="G43" s="68"/>
      <c r="H43" s="3"/>
      <c r="I43" s="3"/>
      <c r="J43" s="3"/>
      <c r="K43" s="3"/>
      <c r="N43" s="3"/>
      <c r="O43" s="3"/>
      <c r="P43" s="3"/>
      <c r="Q43" s="3"/>
    </row>
    <row r="44" spans="1:17" s="2" customFormat="1" x14ac:dyDescent="0.25">
      <c r="A44" s="6"/>
      <c r="B44" s="6"/>
      <c r="C44" s="66">
        <v>3</v>
      </c>
      <c r="D44" s="70" t="s">
        <v>33</v>
      </c>
      <c r="F44" s="67"/>
      <c r="G44" s="68"/>
      <c r="H44" s="3"/>
      <c r="I44" s="3"/>
      <c r="J44" s="3"/>
      <c r="K44" s="3"/>
      <c r="N44" s="3"/>
      <c r="O44" s="3"/>
      <c r="P44" s="3"/>
      <c r="Q44" s="3"/>
    </row>
    <row r="45" spans="1:17" s="2" customFormat="1" x14ac:dyDescent="0.25">
      <c r="A45" s="6"/>
      <c r="B45" s="6"/>
      <c r="C45" s="66">
        <v>4</v>
      </c>
      <c r="D45" s="68" t="s">
        <v>34</v>
      </c>
      <c r="F45" s="67"/>
      <c r="G45" s="68"/>
      <c r="H45" s="3"/>
      <c r="I45" s="3"/>
      <c r="J45" s="3"/>
      <c r="K45" s="3"/>
      <c r="N45" s="3"/>
      <c r="O45" s="3"/>
      <c r="P45" s="3"/>
      <c r="Q45" s="3"/>
    </row>
    <row r="46" spans="1:17" x14ac:dyDescent="0.25">
      <c r="A46" s="2"/>
      <c r="B46" s="2"/>
      <c r="C46" s="2"/>
      <c r="D46" s="71" t="s">
        <v>35</v>
      </c>
      <c r="E46" s="2"/>
      <c r="F46" s="2"/>
      <c r="G46" s="2"/>
      <c r="H46" s="2"/>
      <c r="I46" s="2"/>
      <c r="J46" s="2"/>
      <c r="K46" s="2"/>
      <c r="N46" s="2"/>
      <c r="O46" s="2"/>
      <c r="P46" s="2"/>
      <c r="Q46" s="2"/>
    </row>
    <row r="47" spans="1:17" x14ac:dyDescent="0.25">
      <c r="A47" s="2"/>
      <c r="B47" s="2"/>
      <c r="C47" s="2"/>
      <c r="D47" s="71"/>
      <c r="E47" s="2"/>
      <c r="F47" s="2"/>
      <c r="G47" s="2"/>
      <c r="H47" s="2"/>
      <c r="I47" s="2"/>
      <c r="J47" s="2"/>
      <c r="K47" s="2"/>
      <c r="N47" s="2"/>
      <c r="O47" s="2"/>
      <c r="P47" s="2"/>
      <c r="Q47" s="2"/>
    </row>
    <row r="48" spans="1:17" x14ac:dyDescent="0.25">
      <c r="A48" s="6"/>
      <c r="B48" s="6"/>
      <c r="C48" s="6"/>
      <c r="D48" s="72" t="s">
        <v>13</v>
      </c>
      <c r="G48" s="6"/>
    </row>
    <row r="49" spans="1:17" x14ac:dyDescent="0.25">
      <c r="A49" s="6"/>
      <c r="B49" s="6"/>
      <c r="C49" s="6"/>
      <c r="D49" s="2" t="s">
        <v>20</v>
      </c>
      <c r="E49" s="2" t="s">
        <v>21</v>
      </c>
      <c r="G49" s="6"/>
    </row>
    <row r="50" spans="1:17" x14ac:dyDescent="0.25">
      <c r="A50" s="6"/>
      <c r="B50" s="6"/>
      <c r="C50" s="6"/>
      <c r="D50" s="73" t="s">
        <v>2</v>
      </c>
      <c r="E50" s="73">
        <f>((F36*F32)-(F30*F32))/(F34-F36)</f>
        <v>212.92797027045995</v>
      </c>
      <c r="G50" s="6"/>
    </row>
    <row r="51" spans="1:17" x14ac:dyDescent="0.25">
      <c r="A51" s="6"/>
      <c r="B51" s="6"/>
      <c r="C51" s="6"/>
      <c r="D51" s="74" t="s">
        <v>36</v>
      </c>
      <c r="E51" s="74">
        <f>E50/1000</f>
        <v>0.21292797027045995</v>
      </c>
      <c r="G51" s="6"/>
    </row>
    <row r="52" spans="1:17" x14ac:dyDescent="0.25">
      <c r="A52" s="6"/>
      <c r="B52" s="6"/>
      <c r="C52" s="6"/>
      <c r="D52" s="2" t="s">
        <v>37</v>
      </c>
      <c r="E52" s="2">
        <f>CONVERT(E50,"g","lbm")</f>
        <v>0.46942582008259959</v>
      </c>
      <c r="G52" s="6"/>
    </row>
    <row r="53" spans="1:17" x14ac:dyDescent="0.25">
      <c r="A53" s="6"/>
      <c r="B53" s="6"/>
      <c r="C53" s="6"/>
      <c r="D53" s="2" t="s">
        <v>28</v>
      </c>
      <c r="E53" s="2">
        <f>CONVERT(E50/F35,"ml","l")</f>
        <v>0.14980600638718305</v>
      </c>
      <c r="G53" s="6"/>
    </row>
    <row r="54" spans="1:17" x14ac:dyDescent="0.25">
      <c r="A54" s="6"/>
      <c r="B54" s="6"/>
      <c r="C54" s="6"/>
      <c r="D54" s="2" t="s">
        <v>1</v>
      </c>
      <c r="E54" s="2">
        <f>CONVERT(E50/F35,"ml","gal")</f>
        <v>3.9574560162880038E-2</v>
      </c>
      <c r="F54" s="2"/>
      <c r="G54" s="6"/>
    </row>
    <row r="55" spans="1:17" s="2" customFormat="1" x14ac:dyDescent="0.25">
      <c r="A55" s="6"/>
      <c r="B55" s="6"/>
      <c r="C55" s="6"/>
      <c r="D55" s="6" t="s">
        <v>38</v>
      </c>
      <c r="E55" s="2">
        <f>CONVERT(E50/F35,"ml","cup")</f>
        <v>0.6331929626060806</v>
      </c>
      <c r="G55" s="6"/>
      <c r="H55" s="3"/>
      <c r="I55" s="3"/>
      <c r="J55" s="3"/>
      <c r="K55" s="3"/>
      <c r="N55" s="3"/>
      <c r="O55" s="3"/>
      <c r="P55" s="3"/>
      <c r="Q55" s="3"/>
    </row>
    <row r="56" spans="1:17" x14ac:dyDescent="0.25">
      <c r="A56" s="2"/>
      <c r="B56" s="2"/>
      <c r="C56" s="2"/>
      <c r="D56" s="2"/>
      <c r="E56" s="2"/>
      <c r="F56" s="2"/>
      <c r="G56" s="2"/>
      <c r="H56" s="2"/>
      <c r="I56" s="2"/>
      <c r="J56" s="2"/>
      <c r="K56" s="2"/>
      <c r="N56" s="2"/>
      <c r="O56" s="2"/>
      <c r="P56" s="2"/>
      <c r="Q56" s="2"/>
    </row>
    <row r="57" spans="1:17" x14ac:dyDescent="0.25">
      <c r="A57" s="6"/>
      <c r="B57" s="6"/>
      <c r="C57" s="6"/>
      <c r="D57" s="72" t="s">
        <v>14</v>
      </c>
      <c r="G57" s="6"/>
    </row>
    <row r="58" spans="1:17" x14ac:dyDescent="0.25">
      <c r="A58" s="6"/>
      <c r="B58" s="6"/>
      <c r="C58" s="6"/>
      <c r="D58" s="2" t="s">
        <v>20</v>
      </c>
      <c r="E58" s="2" t="s">
        <v>21</v>
      </c>
      <c r="G58" s="6"/>
    </row>
    <row r="59" spans="1:17" x14ac:dyDescent="0.25">
      <c r="A59" s="6"/>
      <c r="B59" s="6"/>
      <c r="C59" s="6"/>
      <c r="D59" s="73" t="s">
        <v>2</v>
      </c>
      <c r="E59" s="73">
        <f>E50+F32</f>
        <v>3990.7689307024598</v>
      </c>
      <c r="G59" s="6"/>
    </row>
    <row r="60" spans="1:17" x14ac:dyDescent="0.25">
      <c r="A60" s="6"/>
      <c r="B60" s="6"/>
      <c r="C60" s="6"/>
      <c r="D60" s="74" t="s">
        <v>36</v>
      </c>
      <c r="E60" s="74">
        <f>E59/1000</f>
        <v>3.9907689307024596</v>
      </c>
      <c r="G60" s="6"/>
    </row>
    <row r="61" spans="1:17" x14ac:dyDescent="0.25">
      <c r="A61" s="6"/>
      <c r="B61" s="6"/>
      <c r="C61" s="6"/>
      <c r="D61" s="2" t="s">
        <v>39</v>
      </c>
      <c r="E61" s="2">
        <f>CONVERT(E59,"g","lbm")</f>
        <v>8.7981394631978915</v>
      </c>
      <c r="G61" s="6"/>
    </row>
    <row r="62" spans="1:17" s="2" customFormat="1" x14ac:dyDescent="0.25">
      <c r="A62" s="6"/>
      <c r="B62" s="6"/>
      <c r="C62" s="6"/>
      <c r="D62" s="2" t="s">
        <v>28</v>
      </c>
      <c r="E62" s="2">
        <f>CONVERT(E59/F37,"ml","l")</f>
        <v>3.9317920499531631</v>
      </c>
      <c r="G62" s="6"/>
      <c r="H62" s="3"/>
      <c r="I62" s="3"/>
      <c r="J62" s="3"/>
      <c r="K62" s="3"/>
      <c r="N62" s="3"/>
      <c r="O62" s="3"/>
      <c r="P62" s="3"/>
      <c r="Q62" s="3"/>
    </row>
    <row r="63" spans="1:17" x14ac:dyDescent="0.25">
      <c r="A63" s="2"/>
      <c r="B63" s="2"/>
      <c r="C63" s="2"/>
      <c r="D63" s="2" t="s">
        <v>15</v>
      </c>
      <c r="E63" s="2">
        <f>CONVERT(E59/F37,"ml","gal")</f>
        <v>1.0386695752815787</v>
      </c>
      <c r="F63" s="2"/>
      <c r="G63" s="2"/>
      <c r="H63" s="2"/>
      <c r="I63" s="2"/>
      <c r="J63" s="2"/>
      <c r="K63" s="2"/>
      <c r="N63" s="2"/>
      <c r="O63" s="2"/>
      <c r="P63" s="2"/>
      <c r="Q63" s="2"/>
    </row>
    <row r="64" spans="1:17" x14ac:dyDescent="0.25">
      <c r="A64" s="6"/>
      <c r="B64" s="6"/>
      <c r="C64" s="6"/>
      <c r="D64" s="2"/>
      <c r="E64" s="2"/>
      <c r="G64" s="6"/>
    </row>
    <row r="65" spans="1:17" x14ac:dyDescent="0.25">
      <c r="A65" s="6"/>
      <c r="B65" s="6"/>
      <c r="C65" s="6"/>
      <c r="D65" s="72" t="s">
        <v>16</v>
      </c>
      <c r="G65" s="6"/>
    </row>
    <row r="66" spans="1:17" x14ac:dyDescent="0.25">
      <c r="A66" s="6"/>
      <c r="B66" s="6"/>
      <c r="C66" s="6"/>
      <c r="D66" s="2" t="s">
        <v>20</v>
      </c>
      <c r="E66" s="2" t="s">
        <v>21</v>
      </c>
      <c r="G66" s="6"/>
    </row>
    <row r="67" spans="1:17" s="2" customFormat="1" x14ac:dyDescent="0.25">
      <c r="A67" s="6"/>
      <c r="B67" s="6"/>
      <c r="C67" s="6"/>
      <c r="D67" s="2" t="s">
        <v>0</v>
      </c>
      <c r="E67" s="2">
        <f>F32/E59*F38</f>
        <v>11.549067489897903</v>
      </c>
      <c r="F67" s="67"/>
      <c r="G67" s="6"/>
      <c r="H67" s="3"/>
      <c r="I67" s="3"/>
      <c r="J67" s="3"/>
      <c r="K67" s="3"/>
      <c r="N67" s="3"/>
      <c r="O67" s="3"/>
      <c r="P67" s="3"/>
      <c r="Q67" s="3"/>
    </row>
    <row r="68" spans="1:17" x14ac:dyDescent="0.25">
      <c r="A68" s="2"/>
      <c r="B68" s="2"/>
      <c r="C68" s="2"/>
      <c r="D68" s="2" t="s">
        <v>30</v>
      </c>
      <c r="E68" s="2">
        <f>F32/E59*F39</f>
        <v>9.1699595869789352</v>
      </c>
      <c r="F68" s="2"/>
      <c r="G68" s="2"/>
      <c r="H68" s="2"/>
      <c r="I68" s="2"/>
      <c r="J68" s="2"/>
      <c r="K68" s="2"/>
      <c r="N68" s="2"/>
      <c r="O68" s="2"/>
      <c r="P68" s="2"/>
      <c r="Q68" s="2"/>
    </row>
    <row r="69" spans="1:17" x14ac:dyDescent="0.25">
      <c r="A69" s="6"/>
      <c r="B69" s="6"/>
      <c r="C69" s="6"/>
    </row>
    <row r="70" spans="1:17" x14ac:dyDescent="0.25">
      <c r="A70" s="6"/>
      <c r="B70" s="6"/>
      <c r="C70" s="6"/>
      <c r="D70" s="72" t="s">
        <v>17</v>
      </c>
    </row>
    <row r="71" spans="1:17" x14ac:dyDescent="0.25">
      <c r="A71" s="6"/>
      <c r="B71" s="6"/>
      <c r="C71" s="6"/>
      <c r="D71" s="2" t="s">
        <v>20</v>
      </c>
      <c r="E71" s="2" t="s">
        <v>21</v>
      </c>
      <c r="F71" s="75" t="s">
        <v>22</v>
      </c>
      <c r="H71" s="6"/>
    </row>
    <row r="72" spans="1:17" x14ac:dyDescent="0.25">
      <c r="A72" s="6"/>
      <c r="B72" s="6"/>
      <c r="C72" s="6"/>
      <c r="D72" s="2" t="s">
        <v>8</v>
      </c>
      <c r="E72" s="2">
        <f>E67/135.87+F37</f>
        <v>1.1000008647228814</v>
      </c>
      <c r="F72" s="75">
        <v>4</v>
      </c>
      <c r="H72" s="27"/>
      <c r="J72" s="27"/>
      <c r="K72" s="6"/>
    </row>
    <row r="73" spans="1:17" x14ac:dyDescent="0.25">
      <c r="A73" s="6"/>
      <c r="B73" s="6"/>
      <c r="C73" s="6"/>
      <c r="D73" s="75" t="s">
        <v>11</v>
      </c>
      <c r="E73" s="75">
        <f>((182.4601*E72 -775.6821)*E72 +1262.7794)*E72 -669.5622</f>
        <v>23.774381136025227</v>
      </c>
      <c r="F73" s="75">
        <v>2</v>
      </c>
      <c r="G73" s="6"/>
    </row>
    <row r="74" spans="1:17" x14ac:dyDescent="0.25">
      <c r="A74" s="6"/>
      <c r="B74" s="6"/>
      <c r="C74" s="6"/>
      <c r="D74" s="27"/>
      <c r="E74" s="67"/>
      <c r="F74" s="27"/>
      <c r="G74" s="6"/>
    </row>
    <row r="75" spans="1:17" ht="20.25" thickBot="1" x14ac:dyDescent="0.35">
      <c r="A75" s="6"/>
      <c r="B75" s="6"/>
      <c r="C75" s="6"/>
      <c r="D75" s="76" t="s">
        <v>40</v>
      </c>
      <c r="E75" s="77"/>
      <c r="F75" s="60"/>
      <c r="G75" s="60"/>
    </row>
    <row r="76" spans="1:17" ht="15.75" thickTop="1" x14ac:dyDescent="0.25"/>
    <row r="77" spans="1:17" x14ac:dyDescent="0.25">
      <c r="D77" s="78" t="s">
        <v>41</v>
      </c>
    </row>
    <row r="78" spans="1:17" x14ac:dyDescent="0.25">
      <c r="D78" s="3" t="s">
        <v>7</v>
      </c>
      <c r="E78" s="3" t="s">
        <v>42</v>
      </c>
    </row>
    <row r="79" spans="1:17" x14ac:dyDescent="0.25">
      <c r="D79" s="3" t="s">
        <v>43</v>
      </c>
      <c r="E79" s="79">
        <v>1</v>
      </c>
    </row>
    <row r="80" spans="1:17" x14ac:dyDescent="0.25">
      <c r="D80" s="3" t="s">
        <v>44</v>
      </c>
      <c r="E80" s="79">
        <v>0.01</v>
      </c>
    </row>
    <row r="81" spans="4:7" x14ac:dyDescent="0.25">
      <c r="D81" s="3" t="s">
        <v>45</v>
      </c>
      <c r="E81" s="79">
        <v>1.4999999999999999E-2</v>
      </c>
    </row>
    <row r="82" spans="4:7" x14ac:dyDescent="0.25">
      <c r="D82" s="6" t="s">
        <v>46</v>
      </c>
      <c r="E82" s="79">
        <v>1.2500000000000001E-2</v>
      </c>
      <c r="F82" s="6"/>
      <c r="G82" s="6"/>
    </row>
    <row r="83" spans="4:7" x14ac:dyDescent="0.25">
      <c r="D83" s="6" t="s">
        <v>47</v>
      </c>
      <c r="E83" s="79">
        <v>1.2500000000000001E-2</v>
      </c>
      <c r="F83" s="6"/>
      <c r="G83" s="6"/>
    </row>
    <row r="84" spans="4:7" x14ac:dyDescent="0.25">
      <c r="D84" s="6"/>
      <c r="E84" s="6"/>
      <c r="F84" s="6"/>
      <c r="G84" s="6"/>
    </row>
    <row r="85" spans="4:7" x14ac:dyDescent="0.25">
      <c r="D85" s="6"/>
      <c r="E85" s="6"/>
      <c r="F85" s="6"/>
      <c r="G85" s="6"/>
    </row>
    <row r="86" spans="4:7" x14ac:dyDescent="0.25">
      <c r="D86" s="61" t="s">
        <v>48</v>
      </c>
      <c r="E86" s="6"/>
      <c r="F86" s="6"/>
      <c r="G86" s="6"/>
    </row>
    <row r="87" spans="4:7" x14ac:dyDescent="0.25">
      <c r="D87" s="6" t="s">
        <v>49</v>
      </c>
      <c r="E87" s="6" t="s">
        <v>50</v>
      </c>
      <c r="F87" s="6" t="s">
        <v>51</v>
      </c>
      <c r="G87" s="6" t="s">
        <v>42</v>
      </c>
    </row>
    <row r="88" spans="4:7" x14ac:dyDescent="0.25">
      <c r="D88" s="6" t="s">
        <v>23</v>
      </c>
      <c r="E88" s="80">
        <f>F30</f>
        <v>-0.5233056668809013</v>
      </c>
      <c r="F88" s="80">
        <f>E88</f>
        <v>-0.5233056668809013</v>
      </c>
      <c r="G88" s="81">
        <f>F31</f>
        <v>0.998</v>
      </c>
    </row>
    <row r="89" spans="4:7" x14ac:dyDescent="0.25">
      <c r="D89" s="6" t="s">
        <v>52</v>
      </c>
      <c r="E89" s="80">
        <f>F36</f>
        <v>3.8263803978373971</v>
      </c>
      <c r="F89" s="80">
        <f>E89</f>
        <v>3.8263803978373971</v>
      </c>
      <c r="G89" s="81">
        <f>F37</f>
        <v>1.0149999999999999</v>
      </c>
    </row>
  </sheetData>
  <sheetProtection sheet="1" selectLockedCells="1"/>
  <mergeCells count="1">
    <mergeCell ref="B2:O2"/>
  </mergeCells>
  <dataValidations count="6">
    <dataValidation type="list" allowBlank="1" showInputMessage="1" showErrorMessage="1" sqref="F6 F10" xr:uid="{7EBBFE30-C3C4-4998-A0EE-9632B1E8A98D}">
      <formula1>"Specific Gravity, % True Brix"</formula1>
    </dataValidation>
    <dataValidation type="list" allowBlank="1" showInputMessage="1" showErrorMessage="1" sqref="F9" xr:uid="{BF56F89B-E728-4A3D-91D3-6D498712EE81}">
      <formula1>"Specific Gravity, % Brix"</formula1>
    </dataValidation>
    <dataValidation type="list" allowBlank="1" showInputMessage="1" showErrorMessage="1" sqref="F7 F18" xr:uid="{26B82B10-9FFA-481D-B47F-44AA7AD045B7}">
      <formula1>$D$67:$D$68</formula1>
    </dataValidation>
    <dataValidation type="list" allowBlank="1" showInputMessage="1" showErrorMessage="1" sqref="F5 F17" xr:uid="{96168C90-628E-4DE8-A16E-447DDD2C72B3}">
      <formula1>$D$59:$D$63</formula1>
    </dataValidation>
    <dataValidation type="list" allowBlank="1" showInputMessage="1" showErrorMessage="1" sqref="F14" xr:uid="{0D91FF5B-0CD1-4CA6-A62F-1375169DAE75}">
      <formula1>$D$50:$D$55</formula1>
    </dataValidation>
    <dataValidation type="list" allowBlank="1" showInputMessage="1" showErrorMessage="1" sqref="F19" xr:uid="{BDD54B3A-B6F2-499E-B74B-C023037BDC8C}">
      <formula1>$D$72:$D$73</formula1>
    </dataValidation>
  </dataValidation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5D00-D5FF-48DD-B8BF-1ED434F85ECE}">
  <sheetPr codeName="Sheet3"/>
  <dimension ref="B2:D16"/>
  <sheetViews>
    <sheetView workbookViewId="0">
      <selection activeCell="D17" sqref="D17"/>
    </sheetView>
  </sheetViews>
  <sheetFormatPr defaultColWidth="9.140625" defaultRowHeight="15" x14ac:dyDescent="0.25"/>
  <cols>
    <col min="1" max="1" width="9.140625" style="1"/>
    <col min="2" max="2" width="11" style="1" bestFit="1" customWidth="1"/>
    <col min="3" max="3" width="10.7109375" style="1" bestFit="1" customWidth="1"/>
    <col min="4" max="4" width="81.28515625" style="1" bestFit="1" customWidth="1"/>
    <col min="5" max="16384" width="9.140625" style="1"/>
  </cols>
  <sheetData>
    <row r="2" spans="2:4" x14ac:dyDescent="0.25">
      <c r="B2" s="83" t="s">
        <v>53</v>
      </c>
      <c r="C2" s="83" t="s">
        <v>54</v>
      </c>
      <c r="D2" s="83" t="s">
        <v>55</v>
      </c>
    </row>
    <row r="3" spans="2:4" x14ac:dyDescent="0.25">
      <c r="B3" s="83" t="s">
        <v>56</v>
      </c>
      <c r="C3" s="84">
        <v>42983</v>
      </c>
      <c r="D3" s="83" t="s">
        <v>57</v>
      </c>
    </row>
    <row r="4" spans="2:4" x14ac:dyDescent="0.25">
      <c r="B4" s="83" t="s">
        <v>58</v>
      </c>
      <c r="C4" s="84">
        <v>42990</v>
      </c>
      <c r="D4" s="83" t="s">
        <v>59</v>
      </c>
    </row>
    <row r="5" spans="2:4" x14ac:dyDescent="0.25">
      <c r="B5" s="83" t="s">
        <v>58</v>
      </c>
      <c r="C5" s="84">
        <v>42990</v>
      </c>
      <c r="D5" s="83" t="s">
        <v>60</v>
      </c>
    </row>
    <row r="6" spans="2:4" x14ac:dyDescent="0.25">
      <c r="B6" s="83" t="s">
        <v>58</v>
      </c>
      <c r="C6" s="84">
        <v>42990</v>
      </c>
      <c r="D6" s="83" t="s">
        <v>61</v>
      </c>
    </row>
    <row r="7" spans="2:4" x14ac:dyDescent="0.25">
      <c r="B7" s="83" t="s">
        <v>58</v>
      </c>
      <c r="C7" s="84">
        <v>42990</v>
      </c>
      <c r="D7" s="83" t="s">
        <v>62</v>
      </c>
    </row>
    <row r="8" spans="2:4" x14ac:dyDescent="0.25">
      <c r="B8" s="83" t="s">
        <v>63</v>
      </c>
      <c r="C8" s="84">
        <v>43017</v>
      </c>
      <c r="D8" s="83" t="s">
        <v>64</v>
      </c>
    </row>
    <row r="9" spans="2:4" x14ac:dyDescent="0.25">
      <c r="B9" s="83" t="s">
        <v>63</v>
      </c>
      <c r="C9" s="84">
        <v>43017</v>
      </c>
      <c r="D9" s="83" t="s">
        <v>65</v>
      </c>
    </row>
    <row r="10" spans="2:4" x14ac:dyDescent="0.25">
      <c r="B10" s="83" t="s">
        <v>63</v>
      </c>
      <c r="C10" s="84">
        <v>43017</v>
      </c>
      <c r="D10" s="83" t="s">
        <v>66</v>
      </c>
    </row>
    <row r="11" spans="2:4" x14ac:dyDescent="0.25">
      <c r="B11" s="83" t="s">
        <v>63</v>
      </c>
      <c r="C11" s="84">
        <v>43017</v>
      </c>
      <c r="D11" s="83" t="s">
        <v>67</v>
      </c>
    </row>
    <row r="12" spans="2:4" x14ac:dyDescent="0.25">
      <c r="B12" s="83" t="s">
        <v>63</v>
      </c>
      <c r="C12" s="84">
        <v>43017</v>
      </c>
      <c r="D12" s="83" t="s">
        <v>68</v>
      </c>
    </row>
    <row r="13" spans="2:4" x14ac:dyDescent="0.25">
      <c r="B13" s="83" t="s">
        <v>63</v>
      </c>
      <c r="C13" s="84">
        <v>43017</v>
      </c>
      <c r="D13" s="83" t="s">
        <v>69</v>
      </c>
    </row>
    <row r="14" spans="2:4" x14ac:dyDescent="0.25">
      <c r="B14" s="83" t="s">
        <v>63</v>
      </c>
      <c r="C14" s="84">
        <v>43017</v>
      </c>
      <c r="D14" s="83" t="s">
        <v>70</v>
      </c>
    </row>
    <row r="15" spans="2:4" x14ac:dyDescent="0.25">
      <c r="B15" s="82" t="s">
        <v>71</v>
      </c>
      <c r="C15" s="85">
        <v>43100</v>
      </c>
      <c r="D15" s="82" t="s">
        <v>72</v>
      </c>
    </row>
    <row r="16" spans="2:4" x14ac:dyDescent="0.25">
      <c r="B16" s="82" t="s">
        <v>71</v>
      </c>
      <c r="C16" s="85">
        <v>43100</v>
      </c>
      <c r="D16" s="82" t="s">
        <v>128</v>
      </c>
    </row>
  </sheetData>
  <sheetProtection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Stabilizing</vt:lpstr>
      <vt:lpstr>Backsweetening</vt:lpstr>
      <vt:lpstr>Revisions</vt:lpstr>
      <vt:lpstr>Backsweetening!Print_Area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Vinciguerra, Joseph</dc:creator>
  <cp:keywords/>
  <dc:description/>
  <cp:lastModifiedBy>Joe Vinciguerra</cp:lastModifiedBy>
  <cp:revision/>
  <dcterms:created xsi:type="dcterms:W3CDTF">2017-08-16T16:05:29Z</dcterms:created>
  <dcterms:modified xsi:type="dcterms:W3CDTF">2017-12-31T05:38:14Z</dcterms:modified>
  <cp:category/>
  <cp:contentStatus/>
</cp:coreProperties>
</file>